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barbaraaaa\Desktop\"/>
    </mc:Choice>
  </mc:AlternateContent>
  <xr:revisionPtr revIDLastSave="0" documentId="8_{4ED293AB-EDFC-43ED-8154-94FDCDDBB2C9}" xr6:coauthVersionLast="36" xr6:coauthVersionMax="36" xr10:uidLastSave="{00000000-0000-0000-0000-000000000000}"/>
  <workbookProtection workbookAlgorithmName="SHA-512" workbookHashValue="MSLBkz0/Sja96s5RkrhyIphEnrQAznjI7LwEx6viulWlcJbuMi03x6n2kqg+WQmngzcJjSntHhG9znmOzvvy4w==" workbookSaltValue="PsUoLvknARvKPv7+Ms5W3g==" workbookSpinCount="100000" lockStructure="1"/>
  <bookViews>
    <workbookView xWindow="0" yWindow="0" windowWidth="28800" windowHeight="11925" tabRatio="838" firstSheet="1" activeTab="1" xr2:uid="{4CF334CA-D2A3-4615-9BF9-1983273AA035}"/>
  </bookViews>
  <sheets>
    <sheet name="Tap" sheetId="1" state="hidden" r:id="rId1"/>
    <sheet name="1" sheetId="2" r:id="rId2"/>
    <sheet name="2" sheetId="6" r:id="rId3"/>
    <sheet name="3" sheetId="7" r:id="rId4"/>
    <sheet name="4" sheetId="8" r:id="rId5"/>
    <sheet name="5" sheetId="9" r:id="rId6"/>
    <sheet name="6" sheetId="10" r:id="rId7"/>
    <sheet name="7" sheetId="11" r:id="rId8"/>
    <sheet name="8" sheetId="12" r:id="rId9"/>
    <sheet name="9" sheetId="13" r:id="rId10"/>
    <sheet name="10" sheetId="14" r:id="rId11"/>
    <sheet name="11" sheetId="15" r:id="rId12"/>
    <sheet name="12" sheetId="16" r:id="rId13"/>
    <sheet name="13" sheetId="17" r:id="rId14"/>
    <sheet name="14" sheetId="18" r:id="rId15"/>
    <sheet name="15" sheetId="19" r:id="rId16"/>
    <sheet name="16" sheetId="20" r:id="rId17"/>
    <sheet name="17" sheetId="21" r:id="rId18"/>
    <sheet name="18" sheetId="22" r:id="rId19"/>
    <sheet name="19" sheetId="23" r:id="rId20"/>
    <sheet name="20" sheetId="24" r:id="rId21"/>
    <sheet name="MonitorProjetos" sheetId="25" r:id="rId22"/>
    <sheet name="MonitorEquipe" sheetId="28" r:id="rId23"/>
    <sheet name="INV" sheetId="5" state="hidden" r:id="rId24"/>
    <sheet name="Listas" sheetId="27" state="hidden" r:id="rId25"/>
  </sheets>
  <definedNames>
    <definedName name="_xlnm._FilterDatabase" localSheetId="22" hidden="1">MonitorEquipe!$B$1:$J$1</definedName>
    <definedName name="Eq1_">INV!$Q$3:$AC$22</definedName>
    <definedName name="Eq1pac">INV!$Q$3:$Q$22</definedName>
    <definedName name="Eq2_">INV!$R$3:$R$22</definedName>
    <definedName name="Eq2Pac">INV!$S$3:$S$22</definedName>
    <definedName name="Eq3_">INV!$T$3:$T$22</definedName>
    <definedName name="Eq3Pac">INV!$U$3:$U$22</definedName>
    <definedName name="Eq4_">INV!$V$3:$V$22</definedName>
    <definedName name="Eq4Pac">INV!$W$3:$W$22</definedName>
    <definedName name="Eq5_">INV!$X$3:$X$22</definedName>
    <definedName name="Eq5Pac">INV!$Y$3:$Y$22</definedName>
    <definedName name="Eq6_">INV!$Z$3:$Z$22</definedName>
    <definedName name="Eq6Pac">INV!$AA$3:$AA$22</definedName>
    <definedName name="Eq7_">INV!$AB$3:$AB$22</definedName>
    <definedName name="Eq7Pac">INV!$AC$3:$AC$22</definedName>
    <definedName name="Fim">INV!$O$3:$O$22</definedName>
    <definedName name="Inicio">INV!$N$3:$N$22</definedName>
    <definedName name="P1eq">INV!$P$3,INV!$R$3,INV!$T$3,INV!$V$3,INV!$X$3,INV!$Z$3,INV!$AB$3</definedName>
    <definedName name="projetos">Inventario[[Projeto2]:[Eq7Pac]]</definedName>
    <definedName name="tap">INV!$N$3:$AC$22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6" i="25" l="1"/>
  <c r="P6" i="25"/>
  <c r="O7" i="25"/>
  <c r="P7" i="25"/>
  <c r="O8" i="25"/>
  <c r="P8" i="25"/>
  <c r="O9" i="25"/>
  <c r="P9" i="25"/>
  <c r="O10" i="25"/>
  <c r="P10" i="25"/>
  <c r="O11" i="25"/>
  <c r="P11" i="25"/>
  <c r="Q11" i="25" s="1"/>
  <c r="O12" i="25"/>
  <c r="P12" i="25"/>
  <c r="O13" i="25"/>
  <c r="P13" i="25"/>
  <c r="O14" i="25"/>
  <c r="P14" i="25"/>
  <c r="O15" i="25"/>
  <c r="P15" i="25"/>
  <c r="A42" i="27"/>
  <c r="A43" i="27"/>
  <c r="A44" i="27"/>
  <c r="A45" i="27"/>
  <c r="A46" i="27" s="1"/>
  <c r="A47" i="27" s="1"/>
  <c r="A48" i="27" s="1"/>
  <c r="A49" i="27" s="1"/>
  <c r="A50" i="27" s="1"/>
  <c r="A51" i="27" s="1"/>
  <c r="A52" i="27" s="1"/>
  <c r="A53" i="27" s="1"/>
  <c r="A54" i="27" s="1"/>
  <c r="A55" i="27" s="1"/>
  <c r="A56" i="27" s="1"/>
  <c r="A57" i="27" s="1"/>
  <c r="A58" i="27" s="1"/>
  <c r="A59" i="27" s="1"/>
  <c r="A60" i="27" s="1"/>
  <c r="A61" i="27" s="1"/>
  <c r="A62" i="27" s="1"/>
  <c r="A63" i="27" s="1"/>
  <c r="A64" i="27" s="1"/>
  <c r="A65" i="27" s="1"/>
  <c r="A66" i="27" s="1"/>
  <c r="A67" i="27" s="1"/>
  <c r="A68" i="27" s="1"/>
  <c r="A69" i="27" s="1"/>
  <c r="A70" i="27" s="1"/>
  <c r="A71" i="27" s="1"/>
  <c r="A72" i="27" s="1"/>
  <c r="A73" i="27" s="1"/>
  <c r="A74" i="27" s="1"/>
  <c r="A75" i="27" s="1"/>
  <c r="A76" i="27" s="1"/>
  <c r="A77" i="27" s="1"/>
  <c r="A78" i="27" s="1"/>
  <c r="A79" i="27" s="1"/>
  <c r="A80" i="27" s="1"/>
  <c r="A81" i="27" s="1"/>
  <c r="A82" i="27" s="1"/>
  <c r="A83" i="27" s="1"/>
  <c r="A84" i="27" s="1"/>
  <c r="A85" i="27" s="1"/>
  <c r="A86" i="27" s="1"/>
  <c r="A87" i="27" s="1"/>
  <c r="A88" i="27" s="1"/>
  <c r="A89" i="27" s="1"/>
  <c r="A90" i="27" s="1"/>
  <c r="A91" i="27" s="1"/>
  <c r="A92" i="27" s="1"/>
  <c r="A93" i="27" s="1"/>
  <c r="A94" i="27" s="1"/>
  <c r="A95" i="27" s="1"/>
  <c r="A96" i="27" s="1"/>
  <c r="A97" i="27" s="1"/>
  <c r="A98" i="27" s="1"/>
  <c r="A99" i="27" s="1"/>
  <c r="A100" i="27" s="1"/>
  <c r="A101" i="27" s="1"/>
  <c r="A102" i="27" s="1"/>
  <c r="A103" i="27" s="1"/>
  <c r="A104" i="27" s="1"/>
  <c r="A105" i="27" s="1"/>
  <c r="A106" i="27" s="1"/>
  <c r="A107" i="27" s="1"/>
  <c r="A108" i="27" s="1"/>
  <c r="A109" i="27" s="1"/>
  <c r="A110" i="27" s="1"/>
  <c r="A111" i="27" s="1"/>
  <c r="A112" i="27" s="1"/>
  <c r="A113" i="27" s="1"/>
  <c r="A114" i="27" s="1"/>
  <c r="A115" i="27" s="1"/>
  <c r="A116" i="27" s="1"/>
  <c r="A117" i="27" s="1"/>
  <c r="A118" i="27" s="1"/>
  <c r="A119" i="27" s="1"/>
  <c r="A120" i="27" s="1"/>
  <c r="A121" i="27" s="1"/>
  <c r="A122" i="27" s="1"/>
  <c r="A123" i="27" s="1"/>
  <c r="A124" i="27" s="1"/>
  <c r="A125" i="27" s="1"/>
  <c r="A126" i="27" s="1"/>
  <c r="A127" i="27" s="1"/>
  <c r="A128" i="27" s="1"/>
  <c r="A129" i="27" s="1"/>
  <c r="A130" i="27" s="1"/>
  <c r="A131" i="27" s="1"/>
  <c r="A132" i="27" s="1"/>
  <c r="A133" i="27" s="1"/>
  <c r="A134" i="27" s="1"/>
  <c r="A135" i="27" s="1"/>
  <c r="A136" i="27" s="1"/>
  <c r="A137" i="27" s="1"/>
  <c r="A138" i="27" s="1"/>
  <c r="A139" i="27" s="1"/>
  <c r="A140" i="27" s="1"/>
  <c r="A141" i="27" s="1"/>
  <c r="A142" i="27" s="1"/>
  <c r="A143" i="27" s="1"/>
  <c r="A144" i="27" s="1"/>
  <c r="A145" i="27" s="1"/>
  <c r="A146" i="27" s="1"/>
  <c r="A147" i="27" s="1"/>
  <c r="A148" i="27" s="1"/>
  <c r="A149" i="27" s="1"/>
  <c r="A150" i="27" s="1"/>
  <c r="Q6" i="25" l="1"/>
  <c r="Q15" i="25"/>
  <c r="Q13" i="25"/>
  <c r="Q7" i="25"/>
  <c r="Q8" i="25"/>
  <c r="Q12" i="25"/>
  <c r="Q9" i="25"/>
  <c r="Q14" i="25"/>
  <c r="Q10" i="25"/>
  <c r="G24" i="28" l="1"/>
  <c r="I2" i="28"/>
  <c r="I3" i="28"/>
  <c r="I4" i="28"/>
  <c r="I5" i="28"/>
  <c r="I6" i="28"/>
  <c r="I7" i="28"/>
  <c r="I8" i="28"/>
  <c r="I9" i="28"/>
  <c r="I10" i="28"/>
  <c r="I11" i="28"/>
  <c r="I12" i="28"/>
  <c r="I13" i="28"/>
  <c r="I14" i="28"/>
  <c r="I15" i="28"/>
  <c r="I16" i="28"/>
  <c r="I30" i="28"/>
  <c r="I31" i="28"/>
  <c r="I32" i="28"/>
  <c r="I33" i="28"/>
  <c r="I34" i="28"/>
  <c r="I35" i="28"/>
  <c r="I36" i="28"/>
  <c r="I37" i="28"/>
  <c r="I38" i="28"/>
  <c r="I39" i="28"/>
  <c r="I40" i="28"/>
  <c r="I41" i="28"/>
  <c r="I42" i="28"/>
  <c r="I43" i="28"/>
  <c r="I44" i="28"/>
  <c r="I45" i="28"/>
  <c r="I46" i="28"/>
  <c r="I47" i="28"/>
  <c r="I48" i="28"/>
  <c r="I49" i="28"/>
  <c r="I50" i="28"/>
  <c r="I51" i="28"/>
  <c r="I52" i="28"/>
  <c r="I53" i="28"/>
  <c r="I54" i="28"/>
  <c r="I55" i="28"/>
  <c r="I56" i="28"/>
  <c r="I57" i="28"/>
  <c r="I58" i="28"/>
  <c r="I59" i="28"/>
  <c r="I60" i="28"/>
  <c r="I61" i="28"/>
  <c r="I62" i="28"/>
  <c r="I63" i="28"/>
  <c r="I64" i="28"/>
  <c r="I65" i="28"/>
  <c r="I66" i="28"/>
  <c r="I67" i="28"/>
  <c r="I68" i="28"/>
  <c r="I69" i="28"/>
  <c r="I70" i="28"/>
  <c r="I71" i="28"/>
  <c r="I72" i="28"/>
  <c r="I73" i="28"/>
  <c r="I74" i="28"/>
  <c r="I75" i="28"/>
  <c r="I76" i="28"/>
  <c r="I77" i="28"/>
  <c r="I78" i="28"/>
  <c r="I79" i="28"/>
  <c r="I80" i="28"/>
  <c r="I81" i="28"/>
  <c r="I82" i="28"/>
  <c r="I83" i="28"/>
  <c r="I84" i="28"/>
  <c r="I85" i="28"/>
  <c r="I86" i="28"/>
  <c r="I87" i="28"/>
  <c r="I88" i="28"/>
  <c r="I89" i="28"/>
  <c r="I90" i="28"/>
  <c r="I91" i="28"/>
  <c r="I92" i="28"/>
  <c r="I93" i="28"/>
  <c r="I94" i="28"/>
  <c r="I95" i="28"/>
  <c r="I96" i="28"/>
  <c r="I97" i="28"/>
  <c r="I98" i="28"/>
  <c r="I99" i="28"/>
  <c r="I100" i="28"/>
  <c r="I101" i="28"/>
  <c r="I102" i="28"/>
  <c r="I103" i="28"/>
  <c r="I104" i="28"/>
  <c r="I105" i="28"/>
  <c r="I106" i="28"/>
  <c r="I107" i="28"/>
  <c r="I108" i="28"/>
  <c r="I109" i="28"/>
  <c r="I110" i="28"/>
  <c r="I111" i="28"/>
  <c r="I112" i="28"/>
  <c r="I113" i="28"/>
  <c r="I128" i="28"/>
  <c r="I129" i="28"/>
  <c r="I130" i="28"/>
  <c r="I131" i="28"/>
  <c r="I132" i="28"/>
  <c r="I17" i="28"/>
  <c r="I23" i="28"/>
  <c r="I133" i="28"/>
  <c r="I18" i="28"/>
  <c r="I24" i="28"/>
  <c r="I134" i="28"/>
  <c r="I135" i="28"/>
  <c r="I25" i="28"/>
  <c r="I136" i="28"/>
  <c r="I26" i="28"/>
  <c r="I20" i="28"/>
  <c r="I21" i="28"/>
  <c r="I22" i="28"/>
  <c r="I27" i="28"/>
  <c r="I114" i="28"/>
  <c r="I115" i="28"/>
  <c r="I116" i="28"/>
  <c r="I117" i="28"/>
  <c r="I118" i="28"/>
  <c r="I119" i="28"/>
  <c r="I120" i="28"/>
  <c r="I121" i="28"/>
  <c r="I122" i="28"/>
  <c r="I123" i="28"/>
  <c r="I124" i="28"/>
  <c r="I125" i="28"/>
  <c r="I126" i="28"/>
  <c r="I127" i="28"/>
  <c r="I140" i="28"/>
  <c r="I141" i="28"/>
  <c r="I28" i="28"/>
  <c r="I137" i="28"/>
  <c r="I19" i="28"/>
  <c r="I29" i="28"/>
  <c r="I138" i="28"/>
  <c r="I139" i="28"/>
  <c r="H2" i="28"/>
  <c r="H3" i="28"/>
  <c r="H4" i="28"/>
  <c r="H5" i="28"/>
  <c r="H6" i="28"/>
  <c r="H7" i="28"/>
  <c r="H8" i="28"/>
  <c r="H9" i="28"/>
  <c r="H10" i="28"/>
  <c r="H11" i="28"/>
  <c r="H12" i="28"/>
  <c r="H13" i="28"/>
  <c r="H14" i="28"/>
  <c r="H15" i="28"/>
  <c r="H16" i="28"/>
  <c r="H30" i="28"/>
  <c r="H31" i="28"/>
  <c r="H32" i="28"/>
  <c r="H33" i="28"/>
  <c r="H34" i="28"/>
  <c r="H35" i="28"/>
  <c r="H36" i="28"/>
  <c r="H37" i="28"/>
  <c r="H38" i="28"/>
  <c r="H39" i="28"/>
  <c r="H40" i="28"/>
  <c r="H41" i="28"/>
  <c r="H42" i="28"/>
  <c r="H43" i="28"/>
  <c r="H44" i="28"/>
  <c r="H45" i="28"/>
  <c r="H46" i="28"/>
  <c r="H47" i="28"/>
  <c r="H48" i="28"/>
  <c r="H49" i="28"/>
  <c r="H50" i="28"/>
  <c r="H51" i="28"/>
  <c r="H52" i="28"/>
  <c r="H53" i="28"/>
  <c r="H54" i="28"/>
  <c r="H55" i="28"/>
  <c r="H56" i="28"/>
  <c r="H57" i="28"/>
  <c r="H58" i="28"/>
  <c r="H59" i="28"/>
  <c r="H60" i="28"/>
  <c r="H61" i="28"/>
  <c r="H62" i="28"/>
  <c r="H63" i="28"/>
  <c r="H64" i="28"/>
  <c r="H65" i="28"/>
  <c r="H66" i="28"/>
  <c r="H67" i="28"/>
  <c r="H68" i="28"/>
  <c r="H69" i="28"/>
  <c r="H70" i="28"/>
  <c r="H71" i="28"/>
  <c r="H72" i="28"/>
  <c r="H73" i="28"/>
  <c r="H74" i="28"/>
  <c r="H75" i="28"/>
  <c r="H76" i="28"/>
  <c r="H77" i="28"/>
  <c r="H78" i="28"/>
  <c r="H79" i="28"/>
  <c r="H80" i="28"/>
  <c r="H81" i="28"/>
  <c r="H82" i="28"/>
  <c r="H83" i="28"/>
  <c r="H84" i="28"/>
  <c r="H85" i="28"/>
  <c r="H86" i="28"/>
  <c r="H87" i="28"/>
  <c r="H88" i="28"/>
  <c r="H89" i="28"/>
  <c r="H90" i="28"/>
  <c r="H91" i="28"/>
  <c r="H92" i="28"/>
  <c r="H93" i="28"/>
  <c r="H94" i="28"/>
  <c r="H95" i="28"/>
  <c r="H96" i="28"/>
  <c r="H97" i="28"/>
  <c r="H98" i="28"/>
  <c r="H99" i="28"/>
  <c r="H100" i="28"/>
  <c r="H101" i="28"/>
  <c r="H102" i="28"/>
  <c r="H103" i="28"/>
  <c r="H104" i="28"/>
  <c r="H105" i="28"/>
  <c r="H106" i="28"/>
  <c r="H107" i="28"/>
  <c r="H108" i="28"/>
  <c r="H109" i="28"/>
  <c r="H110" i="28"/>
  <c r="H111" i="28"/>
  <c r="H112" i="28"/>
  <c r="H113" i="28"/>
  <c r="H128" i="28"/>
  <c r="H129" i="28"/>
  <c r="H130" i="28"/>
  <c r="H131" i="28"/>
  <c r="H132" i="28"/>
  <c r="H17" i="28"/>
  <c r="H23" i="28"/>
  <c r="H133" i="28"/>
  <c r="H18" i="28"/>
  <c r="H24" i="28"/>
  <c r="H134" i="28"/>
  <c r="H135" i="28"/>
  <c r="H25" i="28"/>
  <c r="H136" i="28"/>
  <c r="H26" i="28"/>
  <c r="H20" i="28"/>
  <c r="H21" i="28"/>
  <c r="H22" i="28"/>
  <c r="H27" i="28"/>
  <c r="H114" i="28"/>
  <c r="H115" i="28"/>
  <c r="H116" i="28"/>
  <c r="H117" i="28"/>
  <c r="H118" i="28"/>
  <c r="H119" i="28"/>
  <c r="H120" i="28"/>
  <c r="H121" i="28"/>
  <c r="H122" i="28"/>
  <c r="H123" i="28"/>
  <c r="H124" i="28"/>
  <c r="H125" i="28"/>
  <c r="H126" i="28"/>
  <c r="H127" i="28"/>
  <c r="H140" i="28"/>
  <c r="H141" i="28"/>
  <c r="H28" i="28"/>
  <c r="H137" i="28"/>
  <c r="H19" i="28"/>
  <c r="H29" i="28"/>
  <c r="H138" i="28"/>
  <c r="H139" i="28"/>
  <c r="B113" i="28" l="1"/>
  <c r="B112" i="28"/>
  <c r="B111" i="28"/>
  <c r="B110" i="28"/>
  <c r="B109" i="28"/>
  <c r="B108" i="28"/>
  <c r="B127" i="28"/>
  <c r="B107" i="28"/>
  <c r="B106" i="28"/>
  <c r="B105" i="28"/>
  <c r="B104" i="28"/>
  <c r="B103" i="28"/>
  <c r="B102" i="28"/>
  <c r="B126" i="28"/>
  <c r="B101" i="28"/>
  <c r="B100" i="28"/>
  <c r="B99" i="28"/>
  <c r="B98" i="28"/>
  <c r="B97" i="28"/>
  <c r="B96" i="28"/>
  <c r="B125" i="28"/>
  <c r="B95" i="28"/>
  <c r="B94" i="28"/>
  <c r="B93" i="28"/>
  <c r="B92" i="28"/>
  <c r="B91" i="28"/>
  <c r="B90" i="28"/>
  <c r="B124" i="28"/>
  <c r="B89" i="28"/>
  <c r="B88" i="28"/>
  <c r="B87" i="28"/>
  <c r="B86" i="28"/>
  <c r="B85" i="28"/>
  <c r="B84" i="28"/>
  <c r="B123" i="28"/>
  <c r="B83" i="28"/>
  <c r="B82" i="28"/>
  <c r="B81" i="28"/>
  <c r="B80" i="28"/>
  <c r="B79" i="28"/>
  <c r="B78" i="28"/>
  <c r="B122" i="28"/>
  <c r="B77" i="28"/>
  <c r="B76" i="28"/>
  <c r="B75" i="28"/>
  <c r="B74" i="28"/>
  <c r="B73" i="28"/>
  <c r="B72" i="28"/>
  <c r="B121" i="28"/>
  <c r="B16" i="28"/>
  <c r="B15" i="28"/>
  <c r="B14" i="28"/>
  <c r="B18" i="28"/>
  <c r="B19" i="28"/>
  <c r="B17" i="28"/>
  <c r="B22" i="28"/>
  <c r="B13" i="28"/>
  <c r="B12" i="28"/>
  <c r="B11" i="28"/>
  <c r="B10" i="28"/>
  <c r="B9" i="28"/>
  <c r="B8" i="28"/>
  <c r="B21" i="28"/>
  <c r="B7" i="28"/>
  <c r="B6" i="28"/>
  <c r="B5" i="28"/>
  <c r="B4" i="28"/>
  <c r="B3" i="28"/>
  <c r="B2" i="28"/>
  <c r="B20" i="28"/>
  <c r="B71" i="28"/>
  <c r="B70" i="28"/>
  <c r="B69" i="28"/>
  <c r="B68" i="28"/>
  <c r="B67" i="28"/>
  <c r="B66" i="28"/>
  <c r="B120" i="28"/>
  <c r="B65" i="28"/>
  <c r="B64" i="28"/>
  <c r="B63" i="28"/>
  <c r="B62" i="28"/>
  <c r="B61" i="28"/>
  <c r="B60" i="28"/>
  <c r="B119" i="28"/>
  <c r="B59" i="28"/>
  <c r="B58" i="28"/>
  <c r="B57" i="28"/>
  <c r="B56" i="28"/>
  <c r="B55" i="28"/>
  <c r="B54" i="28"/>
  <c r="B118" i="28"/>
  <c r="B53" i="28"/>
  <c r="B52" i="28"/>
  <c r="B51" i="28"/>
  <c r="B50" i="28"/>
  <c r="B49" i="28"/>
  <c r="B48" i="28"/>
  <c r="B117" i="28"/>
  <c r="B47" i="28"/>
  <c r="B46" i="28"/>
  <c r="B45" i="28"/>
  <c r="B44" i="28"/>
  <c r="B43" i="28"/>
  <c r="B42" i="28"/>
  <c r="B116" i="28"/>
  <c r="B41" i="28"/>
  <c r="B40" i="28"/>
  <c r="B39" i="28"/>
  <c r="B38" i="28"/>
  <c r="B37" i="28"/>
  <c r="B36" i="28"/>
  <c r="B115" i="28"/>
  <c r="B35" i="28"/>
  <c r="B34" i="28"/>
  <c r="B33" i="28"/>
  <c r="B32" i="28"/>
  <c r="B31" i="28"/>
  <c r="B30" i="28"/>
  <c r="B114" i="28"/>
  <c r="B132" i="28"/>
  <c r="B131" i="28"/>
  <c r="B130" i="28"/>
  <c r="B135" i="28"/>
  <c r="B139" i="28"/>
  <c r="B133" i="28"/>
  <c r="B141" i="28"/>
  <c r="B129" i="28"/>
  <c r="B128" i="28"/>
  <c r="B137" i="28"/>
  <c r="B134" i="28"/>
  <c r="B136" i="28"/>
  <c r="B138" i="28"/>
  <c r="B140" i="28"/>
  <c r="B25" i="28"/>
  <c r="B27" i="28"/>
  <c r="M2" i="27"/>
  <c r="L2" i="27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B29" i="28" s="1"/>
  <c r="AC22" i="5"/>
  <c r="AA22" i="5"/>
  <c r="Y22" i="5"/>
  <c r="W22" i="5"/>
  <c r="AC21" i="5"/>
  <c r="AA21" i="5"/>
  <c r="Y21" i="5"/>
  <c r="W21" i="5"/>
  <c r="AC20" i="5"/>
  <c r="AA20" i="5"/>
  <c r="Y20" i="5"/>
  <c r="W20" i="5"/>
  <c r="AC19" i="5"/>
  <c r="AA19" i="5"/>
  <c r="Y19" i="5"/>
  <c r="W19" i="5"/>
  <c r="AC18" i="5"/>
  <c r="AA18" i="5"/>
  <c r="Y18" i="5"/>
  <c r="W18" i="5"/>
  <c r="AC17" i="5"/>
  <c r="AA17" i="5"/>
  <c r="Y17" i="5"/>
  <c r="W17" i="5"/>
  <c r="AC16" i="5"/>
  <c r="AA16" i="5"/>
  <c r="Y16" i="5"/>
  <c r="W16" i="5"/>
  <c r="AC15" i="5"/>
  <c r="AA15" i="5"/>
  <c r="Y15" i="5"/>
  <c r="W15" i="5"/>
  <c r="AC14" i="5"/>
  <c r="AA14" i="5"/>
  <c r="Y14" i="5"/>
  <c r="W14" i="5"/>
  <c r="AC13" i="5"/>
  <c r="AA13" i="5"/>
  <c r="Y13" i="5"/>
  <c r="W13" i="5"/>
  <c r="AC12" i="5"/>
  <c r="AA12" i="5"/>
  <c r="Y12" i="5"/>
  <c r="W12" i="5"/>
  <c r="AC11" i="5"/>
  <c r="AA11" i="5"/>
  <c r="Y11" i="5"/>
  <c r="W11" i="5"/>
  <c r="AC10" i="5"/>
  <c r="AA10" i="5"/>
  <c r="Y10" i="5"/>
  <c r="W10" i="5"/>
  <c r="AC9" i="5"/>
  <c r="AA9" i="5"/>
  <c r="Y9" i="5"/>
  <c r="W9" i="5"/>
  <c r="AC8" i="5"/>
  <c r="AA8" i="5"/>
  <c r="Y8" i="5"/>
  <c r="W8" i="5"/>
  <c r="AC7" i="5"/>
  <c r="AA7" i="5"/>
  <c r="Y7" i="5"/>
  <c r="W7" i="5"/>
  <c r="AC6" i="5"/>
  <c r="AA6" i="5"/>
  <c r="Y6" i="5"/>
  <c r="W6" i="5"/>
  <c r="AC5" i="5"/>
  <c r="AA5" i="5"/>
  <c r="Y5" i="5"/>
  <c r="W5" i="5"/>
  <c r="AC4" i="5"/>
  <c r="AA4" i="5"/>
  <c r="Y4" i="5"/>
  <c r="W4" i="5"/>
  <c r="B23" i="28" l="1"/>
  <c r="B24" i="28"/>
  <c r="B26" i="28"/>
  <c r="B28" i="28"/>
  <c r="U22" i="5"/>
  <c r="U21" i="5"/>
  <c r="U20" i="5"/>
  <c r="U19" i="5"/>
  <c r="U3" i="5"/>
  <c r="U4" i="5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J9" i="27"/>
  <c r="J3" i="27"/>
  <c r="J4" i="27" s="1"/>
  <c r="J5" i="27" s="1"/>
  <c r="J6" i="27" s="1"/>
  <c r="J7" i="27" s="1"/>
  <c r="J8" i="27" s="1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J10" i="27" l="1"/>
  <c r="J11" i="27" s="1"/>
  <c r="J12" i="27" s="1"/>
  <c r="J13" i="27" s="1"/>
  <c r="J14" i="27" s="1"/>
  <c r="J15" i="27" s="1"/>
  <c r="J16" i="27"/>
  <c r="I3" i="27"/>
  <c r="L3" i="27" l="1"/>
  <c r="M3" i="27"/>
  <c r="J17" i="27"/>
  <c r="J18" i="27" s="1"/>
  <c r="J19" i="27" s="1"/>
  <c r="J20" i="27" s="1"/>
  <c r="J21" i="27" s="1"/>
  <c r="J22" i="27" s="1"/>
  <c r="J23" i="27"/>
  <c r="I4" i="27"/>
  <c r="K4" i="27" l="1"/>
  <c r="M4" i="27"/>
  <c r="L4" i="27"/>
  <c r="J24" i="27"/>
  <c r="J25" i="27" s="1"/>
  <c r="J26" i="27" s="1"/>
  <c r="J27" i="27" s="1"/>
  <c r="J28" i="27" s="1"/>
  <c r="J29" i="27" s="1"/>
  <c r="J30" i="27"/>
  <c r="N4" i="27"/>
  <c r="I5" i="27"/>
  <c r="J37" i="27" l="1"/>
  <c r="J31" i="27"/>
  <c r="J32" i="27" s="1"/>
  <c r="J33" i="27" s="1"/>
  <c r="J34" i="27" s="1"/>
  <c r="J35" i="27" s="1"/>
  <c r="J36" i="27" s="1"/>
  <c r="L5" i="27"/>
  <c r="M5" i="27"/>
  <c r="K5" i="27"/>
  <c r="I6" i="27"/>
  <c r="M6" i="27" l="1"/>
  <c r="K6" i="27"/>
  <c r="L6" i="27"/>
  <c r="J44" i="27"/>
  <c r="J38" i="27"/>
  <c r="J39" i="27" s="1"/>
  <c r="J40" i="27" s="1"/>
  <c r="J41" i="27" s="1"/>
  <c r="J42" i="27" s="1"/>
  <c r="J43" i="27" s="1"/>
  <c r="I7" i="27"/>
  <c r="M7" i="27" l="1"/>
  <c r="L7" i="27"/>
  <c r="K7" i="27"/>
  <c r="J45" i="27"/>
  <c r="J46" i="27" s="1"/>
  <c r="J51" i="27"/>
  <c r="I8" i="27"/>
  <c r="K8" i="27" l="1"/>
  <c r="M8" i="27"/>
  <c r="L8" i="27"/>
  <c r="J52" i="27"/>
  <c r="J53" i="27" s="1"/>
  <c r="J54" i="27" s="1"/>
  <c r="J55" i="27" s="1"/>
  <c r="J56" i="27" s="1"/>
  <c r="J57" i="27" s="1"/>
  <c r="J58" i="27"/>
  <c r="J47" i="27"/>
  <c r="J48" i="27" s="1"/>
  <c r="J49" i="27" s="1"/>
  <c r="J50" i="27" s="1"/>
  <c r="I9" i="27"/>
  <c r="J65" i="27" l="1"/>
  <c r="J59" i="27"/>
  <c r="J60" i="27" s="1"/>
  <c r="J61" i="27" s="1"/>
  <c r="J62" i="27" s="1"/>
  <c r="J63" i="27" s="1"/>
  <c r="J64" i="27" s="1"/>
  <c r="L9" i="27"/>
  <c r="K9" i="27"/>
  <c r="M9" i="27"/>
  <c r="I10" i="27"/>
  <c r="M10" i="27" l="1"/>
  <c r="L10" i="27"/>
  <c r="J66" i="27"/>
  <c r="J67" i="27" s="1"/>
  <c r="J68" i="27" s="1"/>
  <c r="J69" i="27" s="1"/>
  <c r="J70" i="27" s="1"/>
  <c r="J71" i="27" s="1"/>
  <c r="J72" i="27"/>
  <c r="I11" i="27"/>
  <c r="M11" i="27" l="1"/>
  <c r="L11" i="27"/>
  <c r="J73" i="27"/>
  <c r="J74" i="27" s="1"/>
  <c r="J75" i="27" s="1"/>
  <c r="J76" i="27" s="1"/>
  <c r="J77" i="27" s="1"/>
  <c r="J78" i="27" s="1"/>
  <c r="J79" i="27"/>
  <c r="I12" i="27"/>
  <c r="N11" i="27"/>
  <c r="J80" i="27" l="1"/>
  <c r="J81" i="27" s="1"/>
  <c r="J82" i="27" s="1"/>
  <c r="J83" i="27" s="1"/>
  <c r="J84" i="27" s="1"/>
  <c r="J85" i="27" s="1"/>
  <c r="J86" i="27"/>
  <c r="M12" i="27"/>
  <c r="L12" i="27"/>
  <c r="I13" i="27"/>
  <c r="N12" i="27"/>
  <c r="L13" i="27" l="1"/>
  <c r="M13" i="27"/>
  <c r="J87" i="27"/>
  <c r="J88" i="27" s="1"/>
  <c r="J89" i="27" s="1"/>
  <c r="J90" i="27" s="1"/>
  <c r="J91" i="27" s="1"/>
  <c r="J92" i="27" s="1"/>
  <c r="J93" i="27"/>
  <c r="I14" i="27"/>
  <c r="N13" i="27"/>
  <c r="M14" i="27" l="1"/>
  <c r="L14" i="27"/>
  <c r="K14" i="27"/>
  <c r="J100" i="27"/>
  <c r="J94" i="27"/>
  <c r="J95" i="27" s="1"/>
  <c r="J96" i="27" s="1"/>
  <c r="J97" i="27" s="1"/>
  <c r="J98" i="27" s="1"/>
  <c r="J99" i="27" s="1"/>
  <c r="I15" i="27"/>
  <c r="N14" i="27"/>
  <c r="M15" i="27" l="1"/>
  <c r="L15" i="27"/>
  <c r="K15" i="27"/>
  <c r="J107" i="27"/>
  <c r="J101" i="27"/>
  <c r="J102" i="27" s="1"/>
  <c r="J103" i="27" s="1"/>
  <c r="J104" i="27" s="1"/>
  <c r="J105" i="27" s="1"/>
  <c r="J106" i="27" s="1"/>
  <c r="I16" i="27"/>
  <c r="N15" i="27"/>
  <c r="J114" i="27" l="1"/>
  <c r="J108" i="27"/>
  <c r="J109" i="27" s="1"/>
  <c r="J110" i="27" s="1"/>
  <c r="J111" i="27" s="1"/>
  <c r="J112" i="27" s="1"/>
  <c r="J113" i="27" s="1"/>
  <c r="K16" i="27"/>
  <c r="M16" i="27"/>
  <c r="L16" i="27"/>
  <c r="I17" i="27"/>
  <c r="L17" i="27" l="1"/>
  <c r="M17" i="27"/>
  <c r="J121" i="27"/>
  <c r="J115" i="27"/>
  <c r="J116" i="27" s="1"/>
  <c r="J117" i="27" s="1"/>
  <c r="J118" i="27" s="1"/>
  <c r="J119" i="27" s="1"/>
  <c r="J120" i="27" s="1"/>
  <c r="I18" i="27"/>
  <c r="J128" i="27" l="1"/>
  <c r="J122" i="27"/>
  <c r="J123" i="27" s="1"/>
  <c r="J124" i="27" s="1"/>
  <c r="J125" i="27" s="1"/>
  <c r="J126" i="27" s="1"/>
  <c r="J127" i="27" s="1"/>
  <c r="M18" i="27"/>
  <c r="L18" i="27"/>
  <c r="I19" i="27"/>
  <c r="N18" i="27"/>
  <c r="J129" i="27" l="1"/>
  <c r="J130" i="27" s="1"/>
  <c r="J131" i="27" s="1"/>
  <c r="J132" i="27" s="1"/>
  <c r="J133" i="27" s="1"/>
  <c r="J134" i="27" s="1"/>
  <c r="J135" i="27"/>
  <c r="J136" i="27" s="1"/>
  <c r="J137" i="27" s="1"/>
  <c r="J138" i="27" s="1"/>
  <c r="J139" i="27" s="1"/>
  <c r="J140" i="27" s="1"/>
  <c r="J141" i="27" s="1"/>
  <c r="L19" i="27"/>
  <c r="M19" i="27"/>
  <c r="I20" i="27"/>
  <c r="N19" i="27"/>
  <c r="O216" i="25"/>
  <c r="P216" i="25"/>
  <c r="O217" i="25"/>
  <c r="P217" i="25"/>
  <c r="O218" i="25"/>
  <c r="P218" i="25"/>
  <c r="O219" i="25"/>
  <c r="P219" i="25"/>
  <c r="O220" i="25"/>
  <c r="P220" i="25"/>
  <c r="O221" i="25"/>
  <c r="P221" i="25"/>
  <c r="O222" i="25"/>
  <c r="P222" i="25"/>
  <c r="O223" i="25"/>
  <c r="P223" i="25"/>
  <c r="O224" i="25"/>
  <c r="P224" i="25"/>
  <c r="O225" i="25"/>
  <c r="P225" i="25"/>
  <c r="M20" i="27" l="1"/>
  <c r="L20" i="27"/>
  <c r="I21" i="27"/>
  <c r="N20" i="27"/>
  <c r="Q225" i="25"/>
  <c r="Q221" i="25"/>
  <c r="Q217" i="25"/>
  <c r="Q222" i="25"/>
  <c r="Q218" i="25"/>
  <c r="Q223" i="25"/>
  <c r="Q219" i="25"/>
  <c r="Q224" i="25"/>
  <c r="Q220" i="25"/>
  <c r="L2" i="25"/>
  <c r="K2" i="25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4" i="5"/>
  <c r="AY12" i="5"/>
  <c r="AW18" i="5"/>
  <c r="AY22" i="5"/>
  <c r="AY21" i="5"/>
  <c r="AY20" i="5"/>
  <c r="AY19" i="5"/>
  <c r="AY18" i="5"/>
  <c r="AY17" i="5"/>
  <c r="AY16" i="5"/>
  <c r="AY15" i="5"/>
  <c r="AY14" i="5"/>
  <c r="AY13" i="5"/>
  <c r="AY11" i="5"/>
  <c r="AY10" i="5"/>
  <c r="AY9" i="5"/>
  <c r="AY8" i="5"/>
  <c r="AY7" i="5"/>
  <c r="AY6" i="5"/>
  <c r="AY5" i="5"/>
  <c r="AY4" i="5"/>
  <c r="AY3" i="5"/>
  <c r="AW22" i="5"/>
  <c r="AW21" i="5"/>
  <c r="AW20" i="5"/>
  <c r="AW19" i="5"/>
  <c r="AW17" i="5"/>
  <c r="AW16" i="5"/>
  <c r="AW15" i="5"/>
  <c r="AW14" i="5"/>
  <c r="AW13" i="5"/>
  <c r="AW12" i="5"/>
  <c r="AW11" i="5"/>
  <c r="AW10" i="5"/>
  <c r="AW9" i="5"/>
  <c r="AW8" i="5"/>
  <c r="AW7" i="5"/>
  <c r="AW6" i="5"/>
  <c r="AW5" i="5"/>
  <c r="AW4" i="5"/>
  <c r="AW3" i="5"/>
  <c r="AU22" i="5"/>
  <c r="AU21" i="5"/>
  <c r="AU20" i="5"/>
  <c r="AU19" i="5"/>
  <c r="AU18" i="5"/>
  <c r="AU17" i="5"/>
  <c r="AU16" i="5"/>
  <c r="AU15" i="5"/>
  <c r="AU14" i="5"/>
  <c r="AU13" i="5"/>
  <c r="AU12" i="5"/>
  <c r="AU11" i="5"/>
  <c r="AU10" i="5"/>
  <c r="AU9" i="5"/>
  <c r="AU8" i="5"/>
  <c r="AU7" i="5"/>
  <c r="AU6" i="5"/>
  <c r="AU5" i="5"/>
  <c r="AU4" i="5"/>
  <c r="AU3" i="5"/>
  <c r="BF13" i="5"/>
  <c r="BF15" i="5"/>
  <c r="BF21" i="5"/>
  <c r="BH21" i="5"/>
  <c r="BJ22" i="5"/>
  <c r="BJ17" i="5"/>
  <c r="BJ14" i="5"/>
  <c r="BJ11" i="5"/>
  <c r="BH11" i="5"/>
  <c r="BH8" i="5"/>
  <c r="BF6" i="5"/>
  <c r="BF3" i="5"/>
  <c r="BG3" i="5"/>
  <c r="BH3" i="5"/>
  <c r="BJ3" i="5"/>
  <c r="BQ3" i="5"/>
  <c r="BS3" i="5"/>
  <c r="BU3" i="5"/>
  <c r="CB3" i="5"/>
  <c r="CD3" i="5"/>
  <c r="CF3" i="5"/>
  <c r="BS5" i="5"/>
  <c r="BS7" i="5"/>
  <c r="BS12" i="5"/>
  <c r="BS16" i="5"/>
  <c r="BS19" i="5"/>
  <c r="BU21" i="5"/>
  <c r="BU19" i="5"/>
  <c r="BU16" i="5"/>
  <c r="BU9" i="5"/>
  <c r="CM4" i="5"/>
  <c r="BJ21" i="5"/>
  <c r="BJ20" i="5"/>
  <c r="BJ19" i="5"/>
  <c r="BJ18" i="5"/>
  <c r="BJ16" i="5"/>
  <c r="BJ15" i="5"/>
  <c r="BJ13" i="5"/>
  <c r="BJ12" i="5"/>
  <c r="BJ10" i="5"/>
  <c r="BJ9" i="5"/>
  <c r="BJ8" i="5"/>
  <c r="BJ7" i="5"/>
  <c r="BJ6" i="5"/>
  <c r="BJ5" i="5"/>
  <c r="BJ4" i="5"/>
  <c r="BH22" i="5"/>
  <c r="BH20" i="5"/>
  <c r="BH19" i="5"/>
  <c r="BH18" i="5"/>
  <c r="BH17" i="5"/>
  <c r="BH16" i="5"/>
  <c r="BH15" i="5"/>
  <c r="BH14" i="5"/>
  <c r="BH13" i="5"/>
  <c r="BH12" i="5"/>
  <c r="BH10" i="5"/>
  <c r="BH9" i="5"/>
  <c r="BH7" i="5"/>
  <c r="BH6" i="5"/>
  <c r="BH5" i="5"/>
  <c r="BH4" i="5"/>
  <c r="BF22" i="5"/>
  <c r="BF20" i="5"/>
  <c r="BF19" i="5"/>
  <c r="BF18" i="5"/>
  <c r="BF17" i="5"/>
  <c r="BF16" i="5"/>
  <c r="BF14" i="5"/>
  <c r="BF12" i="5"/>
  <c r="BF11" i="5"/>
  <c r="BF10" i="5"/>
  <c r="BF9" i="5"/>
  <c r="BF8" i="5"/>
  <c r="BF7" i="5"/>
  <c r="BF5" i="5"/>
  <c r="BF4" i="5"/>
  <c r="BU22" i="5"/>
  <c r="BU20" i="5"/>
  <c r="BU18" i="5"/>
  <c r="BU17" i="5"/>
  <c r="BU15" i="5"/>
  <c r="BU14" i="5"/>
  <c r="BU13" i="5"/>
  <c r="BU12" i="5"/>
  <c r="BU11" i="5"/>
  <c r="BU10" i="5"/>
  <c r="BU8" i="5"/>
  <c r="BU7" i="5"/>
  <c r="BU6" i="5"/>
  <c r="BU5" i="5"/>
  <c r="BU4" i="5"/>
  <c r="BS22" i="5"/>
  <c r="BS21" i="5"/>
  <c r="BS20" i="5"/>
  <c r="BS18" i="5"/>
  <c r="BS17" i="5"/>
  <c r="BS15" i="5"/>
  <c r="BS14" i="5"/>
  <c r="BS13" i="5"/>
  <c r="BS11" i="5"/>
  <c r="BS10" i="5"/>
  <c r="BS9" i="5"/>
  <c r="BS8" i="5"/>
  <c r="BS6" i="5"/>
  <c r="BS4" i="5"/>
  <c r="BQ22" i="5"/>
  <c r="BQ21" i="5"/>
  <c r="BQ20" i="5"/>
  <c r="BQ19" i="5"/>
  <c r="BQ18" i="5"/>
  <c r="BQ17" i="5"/>
  <c r="BQ16" i="5"/>
  <c r="BQ15" i="5"/>
  <c r="BQ14" i="5"/>
  <c r="BQ13" i="5"/>
  <c r="BQ12" i="5"/>
  <c r="BQ11" i="5"/>
  <c r="BQ10" i="5"/>
  <c r="BQ9" i="5"/>
  <c r="BQ8" i="5"/>
  <c r="BQ7" i="5"/>
  <c r="BQ6" i="5"/>
  <c r="BQ5" i="5"/>
  <c r="BQ4" i="5"/>
  <c r="CF22" i="5"/>
  <c r="CF21" i="5"/>
  <c r="CF20" i="5"/>
  <c r="CF19" i="5"/>
  <c r="CF18" i="5"/>
  <c r="CF17" i="5"/>
  <c r="CF16" i="5"/>
  <c r="CF15" i="5"/>
  <c r="CF14" i="5"/>
  <c r="CF13" i="5"/>
  <c r="CF12" i="5"/>
  <c r="CF11" i="5"/>
  <c r="CF10" i="5"/>
  <c r="CF9" i="5"/>
  <c r="CF8" i="5"/>
  <c r="CF7" i="5"/>
  <c r="CF6" i="5"/>
  <c r="CF5" i="5"/>
  <c r="CF4" i="5"/>
  <c r="CD22" i="5"/>
  <c r="CD21" i="5"/>
  <c r="CD20" i="5"/>
  <c r="CD19" i="5"/>
  <c r="CD18" i="5"/>
  <c r="CD17" i="5"/>
  <c r="CD16" i="5"/>
  <c r="CD15" i="5"/>
  <c r="CD14" i="5"/>
  <c r="CD13" i="5"/>
  <c r="CD12" i="5"/>
  <c r="CD11" i="5"/>
  <c r="CD10" i="5"/>
  <c r="CD9" i="5"/>
  <c r="CD8" i="5"/>
  <c r="CD7" i="5"/>
  <c r="CD6" i="5"/>
  <c r="CD5" i="5"/>
  <c r="CD4" i="5"/>
  <c r="CB22" i="5"/>
  <c r="CB21" i="5"/>
  <c r="CB20" i="5"/>
  <c r="CB19" i="5"/>
  <c r="CB18" i="5"/>
  <c r="CB17" i="5"/>
  <c r="CB16" i="5"/>
  <c r="CB15" i="5"/>
  <c r="CB14" i="5"/>
  <c r="CB13" i="5"/>
  <c r="CB12" i="5"/>
  <c r="CB11" i="5"/>
  <c r="CB10" i="5"/>
  <c r="CB9" i="5"/>
  <c r="CB8" i="5"/>
  <c r="CB7" i="5"/>
  <c r="CB6" i="5"/>
  <c r="CB5" i="5"/>
  <c r="CB4" i="5"/>
  <c r="CM3" i="5"/>
  <c r="CO3" i="5"/>
  <c r="CQ3" i="5"/>
  <c r="CX3" i="5"/>
  <c r="CZ3" i="5"/>
  <c r="DB3" i="5"/>
  <c r="DI3" i="5"/>
  <c r="DK3" i="5"/>
  <c r="DM3" i="5"/>
  <c r="CM17" i="5"/>
  <c r="CO14" i="5"/>
  <c r="CO20" i="5"/>
  <c r="DM22" i="5"/>
  <c r="DM17" i="5"/>
  <c r="DM6" i="5"/>
  <c r="CZ21" i="5"/>
  <c r="CZ18" i="5"/>
  <c r="DB14" i="5"/>
  <c r="CZ9" i="5"/>
  <c r="CZ5" i="5"/>
  <c r="CX17" i="5"/>
  <c r="CX12" i="5"/>
  <c r="CX9" i="5"/>
  <c r="CO22" i="5"/>
  <c r="CO21" i="5"/>
  <c r="CO19" i="5"/>
  <c r="CO18" i="5"/>
  <c r="CO17" i="5"/>
  <c r="CO16" i="5"/>
  <c r="CO15" i="5"/>
  <c r="CO13" i="5"/>
  <c r="CO12" i="5"/>
  <c r="CO11" i="5"/>
  <c r="CO10" i="5"/>
  <c r="CO9" i="5"/>
  <c r="CO8" i="5"/>
  <c r="CO7" i="5"/>
  <c r="CO6" i="5"/>
  <c r="CO5" i="5"/>
  <c r="CO4" i="5"/>
  <c r="CM22" i="5"/>
  <c r="CM21" i="5"/>
  <c r="CM20" i="5"/>
  <c r="CM19" i="5"/>
  <c r="CM18" i="5"/>
  <c r="CM16" i="5"/>
  <c r="CM15" i="5"/>
  <c r="CM14" i="5"/>
  <c r="CM13" i="5"/>
  <c r="CM12" i="5"/>
  <c r="CM11" i="5"/>
  <c r="CM10" i="5"/>
  <c r="CM9" i="5"/>
  <c r="CM8" i="5"/>
  <c r="CM7" i="5"/>
  <c r="CM6" i="5"/>
  <c r="CM5" i="5"/>
  <c r="DB22" i="5"/>
  <c r="DB21" i="5"/>
  <c r="DB20" i="5"/>
  <c r="DB19" i="5"/>
  <c r="DB18" i="5"/>
  <c r="DB17" i="5"/>
  <c r="DB16" i="5"/>
  <c r="DB15" i="5"/>
  <c r="DB13" i="5"/>
  <c r="DB12" i="5"/>
  <c r="DB11" i="5"/>
  <c r="DB10" i="5"/>
  <c r="DB9" i="5"/>
  <c r="DB8" i="5"/>
  <c r="DB7" i="5"/>
  <c r="DB6" i="5"/>
  <c r="DB5" i="5"/>
  <c r="DB4" i="5"/>
  <c r="CZ22" i="5"/>
  <c r="CZ20" i="5"/>
  <c r="CZ19" i="5"/>
  <c r="CZ17" i="5"/>
  <c r="CZ16" i="5"/>
  <c r="CZ15" i="5"/>
  <c r="CZ14" i="5"/>
  <c r="CZ13" i="5"/>
  <c r="CZ12" i="5"/>
  <c r="CZ11" i="5"/>
  <c r="CZ10" i="5"/>
  <c r="CZ8" i="5"/>
  <c r="CZ7" i="5"/>
  <c r="CZ6" i="5"/>
  <c r="CZ4" i="5"/>
  <c r="CX22" i="5"/>
  <c r="CX21" i="5"/>
  <c r="CX20" i="5"/>
  <c r="CX19" i="5"/>
  <c r="CX18" i="5"/>
  <c r="CX16" i="5"/>
  <c r="CX15" i="5"/>
  <c r="CX14" i="5"/>
  <c r="CX13" i="5"/>
  <c r="CX11" i="5"/>
  <c r="CX10" i="5"/>
  <c r="CX8" i="5"/>
  <c r="CX7" i="5"/>
  <c r="CX6" i="5"/>
  <c r="CX5" i="5"/>
  <c r="CX4" i="5"/>
  <c r="DM21" i="5"/>
  <c r="DM20" i="5"/>
  <c r="DM19" i="5"/>
  <c r="DM18" i="5"/>
  <c r="DM16" i="5"/>
  <c r="DM15" i="5"/>
  <c r="DM14" i="5"/>
  <c r="DM13" i="5"/>
  <c r="DM12" i="5"/>
  <c r="DM11" i="5"/>
  <c r="DM10" i="5"/>
  <c r="DM9" i="5"/>
  <c r="DM8" i="5"/>
  <c r="DM7" i="5"/>
  <c r="DM5" i="5"/>
  <c r="DM4" i="5"/>
  <c r="DK22" i="5"/>
  <c r="DK21" i="5"/>
  <c r="DK20" i="5"/>
  <c r="DK19" i="5"/>
  <c r="DK18" i="5"/>
  <c r="DK17" i="5"/>
  <c r="DK16" i="5"/>
  <c r="DK15" i="5"/>
  <c r="DK14" i="5"/>
  <c r="DK13" i="5"/>
  <c r="DK12" i="5"/>
  <c r="DK11" i="5"/>
  <c r="DK10" i="5"/>
  <c r="DK9" i="5"/>
  <c r="DK8" i="5"/>
  <c r="DK7" i="5"/>
  <c r="DK6" i="5"/>
  <c r="DK5" i="5"/>
  <c r="DK4" i="5"/>
  <c r="DI22" i="5"/>
  <c r="DI21" i="5"/>
  <c r="DI20" i="5"/>
  <c r="DI19" i="5"/>
  <c r="DI18" i="5"/>
  <c r="DI17" i="5"/>
  <c r="DI16" i="5"/>
  <c r="DI15" i="5"/>
  <c r="DI14" i="5"/>
  <c r="DI13" i="5"/>
  <c r="DI12" i="5"/>
  <c r="DI11" i="5"/>
  <c r="DI10" i="5"/>
  <c r="DI9" i="5"/>
  <c r="DI8" i="5"/>
  <c r="DI7" i="5"/>
  <c r="DI6" i="5"/>
  <c r="DI5" i="5"/>
  <c r="DI4" i="5"/>
  <c r="DT4" i="5"/>
  <c r="CQ22" i="5"/>
  <c r="CQ21" i="5"/>
  <c r="CQ20" i="5"/>
  <c r="CQ19" i="5"/>
  <c r="CQ18" i="5"/>
  <c r="CQ17" i="5"/>
  <c r="CQ16" i="5"/>
  <c r="CQ15" i="5"/>
  <c r="CQ14" i="5"/>
  <c r="CQ13" i="5"/>
  <c r="CQ12" i="5"/>
  <c r="CQ11" i="5"/>
  <c r="CQ10" i="5"/>
  <c r="CQ9" i="5"/>
  <c r="CQ8" i="5"/>
  <c r="CQ7" i="5"/>
  <c r="CQ6" i="5"/>
  <c r="CQ5" i="5"/>
  <c r="CQ4" i="5"/>
  <c r="DT3" i="5"/>
  <c r="DV3" i="5"/>
  <c r="DX3" i="5"/>
  <c r="EG3" i="5"/>
  <c r="EE3" i="5"/>
  <c r="EI22" i="5"/>
  <c r="EI21" i="5"/>
  <c r="EI20" i="5"/>
  <c r="EI19" i="5"/>
  <c r="EI18" i="5"/>
  <c r="EI17" i="5"/>
  <c r="EI16" i="5"/>
  <c r="EI15" i="5"/>
  <c r="EI14" i="5"/>
  <c r="EI13" i="5"/>
  <c r="EI12" i="5"/>
  <c r="EI11" i="5"/>
  <c r="EI10" i="5"/>
  <c r="EI9" i="5"/>
  <c r="EI8" i="5"/>
  <c r="EI7" i="5"/>
  <c r="EI6" i="5"/>
  <c r="EI5" i="5"/>
  <c r="EI4" i="5"/>
  <c r="EI3" i="5"/>
  <c r="EG22" i="5"/>
  <c r="EG21" i="5"/>
  <c r="EG20" i="5"/>
  <c r="EG19" i="5"/>
  <c r="EG18" i="5"/>
  <c r="EG17" i="5"/>
  <c r="EG16" i="5"/>
  <c r="EG15" i="5"/>
  <c r="EG14" i="5"/>
  <c r="EG13" i="5"/>
  <c r="EG12" i="5"/>
  <c r="EG11" i="5"/>
  <c r="EG10" i="5"/>
  <c r="EG9" i="5"/>
  <c r="EG8" i="5"/>
  <c r="EG7" i="5"/>
  <c r="EG6" i="5"/>
  <c r="EG5" i="5"/>
  <c r="EG4" i="5"/>
  <c r="EE22" i="5"/>
  <c r="EE21" i="5"/>
  <c r="EE20" i="5"/>
  <c r="EE19" i="5"/>
  <c r="EE18" i="5"/>
  <c r="EE17" i="5"/>
  <c r="EE16" i="5"/>
  <c r="EE15" i="5"/>
  <c r="EE14" i="5"/>
  <c r="EE13" i="5"/>
  <c r="EE12" i="5"/>
  <c r="EE11" i="5"/>
  <c r="EE10" i="5"/>
  <c r="EE9" i="5"/>
  <c r="EE8" i="5"/>
  <c r="EE7" i="5"/>
  <c r="EE6" i="5"/>
  <c r="EE5" i="5"/>
  <c r="EE4" i="5"/>
  <c r="DX22" i="5"/>
  <c r="DX21" i="5"/>
  <c r="DX20" i="5"/>
  <c r="DX19" i="5"/>
  <c r="DX18" i="5"/>
  <c r="DX17" i="5"/>
  <c r="DX16" i="5"/>
  <c r="DX15" i="5"/>
  <c r="DX14" i="5"/>
  <c r="DX13" i="5"/>
  <c r="DX12" i="5"/>
  <c r="DX11" i="5"/>
  <c r="DX10" i="5"/>
  <c r="DX9" i="5"/>
  <c r="DX8" i="5"/>
  <c r="DX7" i="5"/>
  <c r="DX6" i="5"/>
  <c r="DX5" i="5"/>
  <c r="DX4" i="5"/>
  <c r="DV22" i="5"/>
  <c r="DV21" i="5"/>
  <c r="DV20" i="5"/>
  <c r="DV19" i="5"/>
  <c r="DV18" i="5"/>
  <c r="DV17" i="5"/>
  <c r="DV16" i="5"/>
  <c r="DV15" i="5"/>
  <c r="DV14" i="5"/>
  <c r="DV13" i="5"/>
  <c r="DV12" i="5"/>
  <c r="DV11" i="5"/>
  <c r="DV10" i="5"/>
  <c r="DV9" i="5"/>
  <c r="DV8" i="5"/>
  <c r="DV7" i="5"/>
  <c r="DV6" i="5"/>
  <c r="DV5" i="5"/>
  <c r="DV4" i="5"/>
  <c r="DT22" i="5"/>
  <c r="DT21" i="5"/>
  <c r="DT20" i="5"/>
  <c r="DT19" i="5"/>
  <c r="DT18" i="5"/>
  <c r="DT17" i="5"/>
  <c r="DT16" i="5"/>
  <c r="DT15" i="5"/>
  <c r="DT14" i="5"/>
  <c r="DT13" i="5"/>
  <c r="DT12" i="5"/>
  <c r="DT11" i="5"/>
  <c r="DT10" i="5"/>
  <c r="DT9" i="5"/>
  <c r="DT8" i="5"/>
  <c r="DT7" i="5"/>
  <c r="DT6" i="5"/>
  <c r="DT5" i="5"/>
  <c r="L21" i="27" l="1"/>
  <c r="M21" i="27"/>
  <c r="K21" i="27"/>
  <c r="I22" i="27"/>
  <c r="N21" i="27"/>
  <c r="B48" i="25"/>
  <c r="AL11" i="5"/>
  <c r="AN22" i="5"/>
  <c r="AN21" i="5"/>
  <c r="AN20" i="5"/>
  <c r="AN19" i="5"/>
  <c r="AN18" i="5"/>
  <c r="AN17" i="5"/>
  <c r="AN16" i="5"/>
  <c r="AN15" i="5"/>
  <c r="AN14" i="5"/>
  <c r="AN13" i="5"/>
  <c r="AN12" i="5"/>
  <c r="AN11" i="5"/>
  <c r="AN10" i="5"/>
  <c r="AN9" i="5"/>
  <c r="AN8" i="5"/>
  <c r="AN7" i="5"/>
  <c r="AN6" i="5"/>
  <c r="AN5" i="5"/>
  <c r="AN4" i="5"/>
  <c r="AL22" i="5"/>
  <c r="AL21" i="5"/>
  <c r="AL20" i="5"/>
  <c r="AL19" i="5"/>
  <c r="AL18" i="5"/>
  <c r="AL17" i="5"/>
  <c r="AL16" i="5"/>
  <c r="AL15" i="5"/>
  <c r="AL14" i="5"/>
  <c r="AL13" i="5"/>
  <c r="AL12" i="5"/>
  <c r="AL10" i="5"/>
  <c r="AL9" i="5"/>
  <c r="AL8" i="5"/>
  <c r="AL7" i="5"/>
  <c r="AL6" i="5"/>
  <c r="AL5" i="5"/>
  <c r="AL4" i="5"/>
  <c r="AJ22" i="5"/>
  <c r="AJ21" i="5"/>
  <c r="AJ20" i="5"/>
  <c r="AJ19" i="5"/>
  <c r="AJ18" i="5"/>
  <c r="AJ17" i="5"/>
  <c r="AJ16" i="5"/>
  <c r="AJ15" i="5"/>
  <c r="AJ14" i="5"/>
  <c r="AJ13" i="5"/>
  <c r="AJ12" i="5"/>
  <c r="AJ11" i="5"/>
  <c r="AJ10" i="5"/>
  <c r="AJ9" i="5"/>
  <c r="AJ5" i="5"/>
  <c r="AJ8" i="5"/>
  <c r="AJ6" i="5"/>
  <c r="AJ4" i="5"/>
  <c r="AJ3" i="5"/>
  <c r="AJ7" i="5"/>
  <c r="AN3" i="5"/>
  <c r="AL3" i="5"/>
  <c r="AC3" i="5"/>
  <c r="N8" i="27" s="1"/>
  <c r="AA3" i="5"/>
  <c r="N7" i="27" s="1"/>
  <c r="Y3" i="5"/>
  <c r="N6" i="27" s="1"/>
  <c r="W3" i="5"/>
  <c r="N5" i="27" s="1"/>
  <c r="V3" i="5"/>
  <c r="V4" i="5"/>
  <c r="K12" i="27" s="1"/>
  <c r="V5" i="5"/>
  <c r="K19" i="27" s="1"/>
  <c r="V6" i="5"/>
  <c r="V7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X3" i="5"/>
  <c r="X4" i="5"/>
  <c r="K13" i="27" s="1"/>
  <c r="X5" i="5"/>
  <c r="K20" i="27" s="1"/>
  <c r="X6" i="5"/>
  <c r="X7" i="5"/>
  <c r="X8" i="5"/>
  <c r="X9" i="5"/>
  <c r="X10" i="5"/>
  <c r="X11" i="5"/>
  <c r="X12" i="5"/>
  <c r="X13" i="5"/>
  <c r="X14" i="5"/>
  <c r="X15" i="5"/>
  <c r="X16" i="5"/>
  <c r="X17" i="5"/>
  <c r="X18" i="5"/>
  <c r="X19" i="5"/>
  <c r="X20" i="5"/>
  <c r="X21" i="5"/>
  <c r="X22" i="5"/>
  <c r="S19" i="5"/>
  <c r="S17" i="5"/>
  <c r="S16" i="5"/>
  <c r="S13" i="5"/>
  <c r="S10" i="5"/>
  <c r="S9" i="5"/>
  <c r="S8" i="5"/>
  <c r="S7" i="5"/>
  <c r="S21" i="5"/>
  <c r="S20" i="5"/>
  <c r="S18" i="5"/>
  <c r="S15" i="5"/>
  <c r="S14" i="5"/>
  <c r="S12" i="5"/>
  <c r="S11" i="5"/>
  <c r="S6" i="5"/>
  <c r="S5" i="5"/>
  <c r="N17" i="27" s="1"/>
  <c r="S4" i="5"/>
  <c r="N10" i="27" s="1"/>
  <c r="S22" i="5"/>
  <c r="S3" i="5"/>
  <c r="N3" i="27" s="1"/>
  <c r="Q21" i="5"/>
  <c r="Q17" i="5"/>
  <c r="Q13" i="5"/>
  <c r="Q22" i="5"/>
  <c r="Q20" i="5"/>
  <c r="Q19" i="5"/>
  <c r="Q18" i="5"/>
  <c r="Q16" i="5"/>
  <c r="Q15" i="5"/>
  <c r="Q14" i="5"/>
  <c r="Q12" i="5"/>
  <c r="Q11" i="5"/>
  <c r="Q10" i="5"/>
  <c r="Q9" i="5"/>
  <c r="Q8" i="5"/>
  <c r="Q7" i="5"/>
  <c r="Q6" i="5"/>
  <c r="Q5" i="5"/>
  <c r="N16" i="27" s="1"/>
  <c r="Q3" i="5"/>
  <c r="Q4" i="5"/>
  <c r="N9" i="27" s="1"/>
  <c r="M22" i="27" l="1"/>
  <c r="L22" i="27"/>
  <c r="K22" i="27"/>
  <c r="J27" i="28"/>
  <c r="N2" i="27"/>
  <c r="I23" i="27"/>
  <c r="N22" i="27"/>
  <c r="BC3" i="5"/>
  <c r="BD3" i="5"/>
  <c r="BE3" i="5"/>
  <c r="BN3" i="5"/>
  <c r="BO3" i="5"/>
  <c r="BP3" i="5"/>
  <c r="BY3" i="5"/>
  <c r="BZ3" i="5"/>
  <c r="CA3" i="5"/>
  <c r="CJ3" i="5"/>
  <c r="CK3" i="5"/>
  <c r="CL3" i="5"/>
  <c r="CU3" i="5"/>
  <c r="CV3" i="5"/>
  <c r="CW3" i="5"/>
  <c r="DF3" i="5"/>
  <c r="DG3" i="5"/>
  <c r="DH3" i="5"/>
  <c r="DQ3" i="5"/>
  <c r="DR3" i="5"/>
  <c r="DS3" i="5"/>
  <c r="EB3" i="5"/>
  <c r="EC3" i="5"/>
  <c r="ED3" i="5"/>
  <c r="ED22" i="5"/>
  <c r="EC22" i="5"/>
  <c r="EB22" i="5"/>
  <c r="DS22" i="5"/>
  <c r="DR22" i="5"/>
  <c r="DQ22" i="5"/>
  <c r="DH22" i="5"/>
  <c r="DG22" i="5"/>
  <c r="DF22" i="5"/>
  <c r="CW22" i="5"/>
  <c r="CV22" i="5"/>
  <c r="CU22" i="5"/>
  <c r="CL22" i="5"/>
  <c r="CK22" i="5"/>
  <c r="CJ22" i="5"/>
  <c r="CA22" i="5"/>
  <c r="BZ22" i="5"/>
  <c r="BY22" i="5"/>
  <c r="BP22" i="5"/>
  <c r="BO22" i="5"/>
  <c r="BN22" i="5"/>
  <c r="BE22" i="5"/>
  <c r="BD22" i="5"/>
  <c r="BC22" i="5"/>
  <c r="ED21" i="5"/>
  <c r="EC21" i="5"/>
  <c r="EB21" i="5"/>
  <c r="DS21" i="5"/>
  <c r="DR21" i="5"/>
  <c r="DQ21" i="5"/>
  <c r="DH21" i="5"/>
  <c r="DG21" i="5"/>
  <c r="DF21" i="5"/>
  <c r="CW21" i="5"/>
  <c r="CV21" i="5"/>
  <c r="CU21" i="5"/>
  <c r="CL21" i="5"/>
  <c r="CK21" i="5"/>
  <c r="CJ21" i="5"/>
  <c r="CA21" i="5"/>
  <c r="BZ21" i="5"/>
  <c r="BY21" i="5"/>
  <c r="BP21" i="5"/>
  <c r="BO21" i="5"/>
  <c r="BN21" i="5"/>
  <c r="BE21" i="5"/>
  <c r="BD21" i="5"/>
  <c r="BC21" i="5"/>
  <c r="ED20" i="5"/>
  <c r="EC20" i="5"/>
  <c r="EB20" i="5"/>
  <c r="DS20" i="5"/>
  <c r="DR20" i="5"/>
  <c r="DQ20" i="5"/>
  <c r="DH20" i="5"/>
  <c r="DG20" i="5"/>
  <c r="DF20" i="5"/>
  <c r="CW20" i="5"/>
  <c r="CV20" i="5"/>
  <c r="CU20" i="5"/>
  <c r="CL20" i="5"/>
  <c r="CK20" i="5"/>
  <c r="CJ20" i="5"/>
  <c r="CA20" i="5"/>
  <c r="BZ20" i="5"/>
  <c r="BY20" i="5"/>
  <c r="BP20" i="5"/>
  <c r="BO20" i="5"/>
  <c r="BN20" i="5"/>
  <c r="BE20" i="5"/>
  <c r="BD20" i="5"/>
  <c r="BC20" i="5"/>
  <c r="ED19" i="5"/>
  <c r="EC19" i="5"/>
  <c r="EB19" i="5"/>
  <c r="DS19" i="5"/>
  <c r="DR19" i="5"/>
  <c r="DQ19" i="5"/>
  <c r="DH19" i="5"/>
  <c r="DG19" i="5"/>
  <c r="DF19" i="5"/>
  <c r="CW19" i="5"/>
  <c r="CV19" i="5"/>
  <c r="CU19" i="5"/>
  <c r="CL19" i="5"/>
  <c r="CK19" i="5"/>
  <c r="CJ19" i="5"/>
  <c r="CA19" i="5"/>
  <c r="BZ19" i="5"/>
  <c r="BY19" i="5"/>
  <c r="BP19" i="5"/>
  <c r="BO19" i="5"/>
  <c r="BN19" i="5"/>
  <c r="BE19" i="5"/>
  <c r="BD19" i="5"/>
  <c r="BC19" i="5"/>
  <c r="ED18" i="5"/>
  <c r="EC18" i="5"/>
  <c r="EB18" i="5"/>
  <c r="DS18" i="5"/>
  <c r="DR18" i="5"/>
  <c r="DQ18" i="5"/>
  <c r="DH18" i="5"/>
  <c r="DG18" i="5"/>
  <c r="DF18" i="5"/>
  <c r="CW18" i="5"/>
  <c r="CV18" i="5"/>
  <c r="CU18" i="5"/>
  <c r="CL18" i="5"/>
  <c r="CK18" i="5"/>
  <c r="CJ18" i="5"/>
  <c r="CA18" i="5"/>
  <c r="BZ18" i="5"/>
  <c r="BY18" i="5"/>
  <c r="BP18" i="5"/>
  <c r="BO18" i="5"/>
  <c r="BN18" i="5"/>
  <c r="BE18" i="5"/>
  <c r="BD18" i="5"/>
  <c r="BC18" i="5"/>
  <c r="ED17" i="5"/>
  <c r="EC17" i="5"/>
  <c r="EB17" i="5"/>
  <c r="DS17" i="5"/>
  <c r="DR17" i="5"/>
  <c r="DQ17" i="5"/>
  <c r="DH17" i="5"/>
  <c r="DG17" i="5"/>
  <c r="DF17" i="5"/>
  <c r="CW17" i="5"/>
  <c r="CV17" i="5"/>
  <c r="CU17" i="5"/>
  <c r="CL17" i="5"/>
  <c r="CK17" i="5"/>
  <c r="CJ17" i="5"/>
  <c r="CA17" i="5"/>
  <c r="BZ17" i="5"/>
  <c r="BY17" i="5"/>
  <c r="BP17" i="5"/>
  <c r="BO17" i="5"/>
  <c r="BN17" i="5"/>
  <c r="BE17" i="5"/>
  <c r="BD17" i="5"/>
  <c r="BC17" i="5"/>
  <c r="ED16" i="5"/>
  <c r="EC16" i="5"/>
  <c r="EB16" i="5"/>
  <c r="DS16" i="5"/>
  <c r="DR16" i="5"/>
  <c r="DQ16" i="5"/>
  <c r="DH16" i="5"/>
  <c r="DG16" i="5"/>
  <c r="DF16" i="5"/>
  <c r="CW16" i="5"/>
  <c r="CV16" i="5"/>
  <c r="CU16" i="5"/>
  <c r="CL16" i="5"/>
  <c r="CK16" i="5"/>
  <c r="CJ16" i="5"/>
  <c r="CA16" i="5"/>
  <c r="BZ16" i="5"/>
  <c r="BY16" i="5"/>
  <c r="BP16" i="5"/>
  <c r="BO16" i="5"/>
  <c r="BN16" i="5"/>
  <c r="BE16" i="5"/>
  <c r="BD16" i="5"/>
  <c r="BC16" i="5"/>
  <c r="ED15" i="5"/>
  <c r="EC15" i="5"/>
  <c r="EB15" i="5"/>
  <c r="DS15" i="5"/>
  <c r="DR15" i="5"/>
  <c r="DQ15" i="5"/>
  <c r="DH15" i="5"/>
  <c r="DG15" i="5"/>
  <c r="DF15" i="5"/>
  <c r="CW15" i="5"/>
  <c r="CV15" i="5"/>
  <c r="CU15" i="5"/>
  <c r="CL15" i="5"/>
  <c r="CK15" i="5"/>
  <c r="CJ15" i="5"/>
  <c r="CA15" i="5"/>
  <c r="BZ15" i="5"/>
  <c r="BY15" i="5"/>
  <c r="BP15" i="5"/>
  <c r="BO15" i="5"/>
  <c r="BN15" i="5"/>
  <c r="BE15" i="5"/>
  <c r="BD15" i="5"/>
  <c r="BC15" i="5"/>
  <c r="ED14" i="5"/>
  <c r="EC14" i="5"/>
  <c r="EB14" i="5"/>
  <c r="DS14" i="5"/>
  <c r="DR14" i="5"/>
  <c r="DQ14" i="5"/>
  <c r="DH14" i="5"/>
  <c r="DG14" i="5"/>
  <c r="DF14" i="5"/>
  <c r="CW14" i="5"/>
  <c r="CV14" i="5"/>
  <c r="CU14" i="5"/>
  <c r="CL14" i="5"/>
  <c r="CK14" i="5"/>
  <c r="CJ14" i="5"/>
  <c r="CA14" i="5"/>
  <c r="BZ14" i="5"/>
  <c r="BY14" i="5"/>
  <c r="BP14" i="5"/>
  <c r="BO14" i="5"/>
  <c r="BN14" i="5"/>
  <c r="BE14" i="5"/>
  <c r="BD14" i="5"/>
  <c r="BC14" i="5"/>
  <c r="ED13" i="5"/>
  <c r="EC13" i="5"/>
  <c r="EB13" i="5"/>
  <c r="DS13" i="5"/>
  <c r="DR13" i="5"/>
  <c r="DQ13" i="5"/>
  <c r="DH13" i="5"/>
  <c r="DG13" i="5"/>
  <c r="DF13" i="5"/>
  <c r="CW13" i="5"/>
  <c r="CV13" i="5"/>
  <c r="CU13" i="5"/>
  <c r="CL13" i="5"/>
  <c r="CK13" i="5"/>
  <c r="CJ13" i="5"/>
  <c r="CA13" i="5"/>
  <c r="BZ13" i="5"/>
  <c r="BY13" i="5"/>
  <c r="BP13" i="5"/>
  <c r="BO13" i="5"/>
  <c r="BN13" i="5"/>
  <c r="BE13" i="5"/>
  <c r="BD13" i="5"/>
  <c r="BC13" i="5"/>
  <c r="ED12" i="5"/>
  <c r="EC12" i="5"/>
  <c r="EB12" i="5"/>
  <c r="DS12" i="5"/>
  <c r="DR12" i="5"/>
  <c r="DQ12" i="5"/>
  <c r="DH12" i="5"/>
  <c r="DG12" i="5"/>
  <c r="DF12" i="5"/>
  <c r="CW12" i="5"/>
  <c r="CV12" i="5"/>
  <c r="CU12" i="5"/>
  <c r="CL12" i="5"/>
  <c r="CK12" i="5"/>
  <c r="CJ12" i="5"/>
  <c r="CA12" i="5"/>
  <c r="BZ12" i="5"/>
  <c r="BY12" i="5"/>
  <c r="BP12" i="5"/>
  <c r="BO12" i="5"/>
  <c r="BN12" i="5"/>
  <c r="BE12" i="5"/>
  <c r="BD12" i="5"/>
  <c r="BC12" i="5"/>
  <c r="ED11" i="5"/>
  <c r="EC11" i="5"/>
  <c r="EB11" i="5"/>
  <c r="DS11" i="5"/>
  <c r="DR11" i="5"/>
  <c r="DQ11" i="5"/>
  <c r="DH11" i="5"/>
  <c r="DG11" i="5"/>
  <c r="DF11" i="5"/>
  <c r="CW11" i="5"/>
  <c r="CV11" i="5"/>
  <c r="CU11" i="5"/>
  <c r="CL11" i="5"/>
  <c r="CK11" i="5"/>
  <c r="CJ11" i="5"/>
  <c r="CA11" i="5"/>
  <c r="BZ11" i="5"/>
  <c r="BY11" i="5"/>
  <c r="BP11" i="5"/>
  <c r="BO11" i="5"/>
  <c r="BN11" i="5"/>
  <c r="BE11" i="5"/>
  <c r="BD11" i="5"/>
  <c r="BC11" i="5"/>
  <c r="ED10" i="5"/>
  <c r="EC10" i="5"/>
  <c r="EB10" i="5"/>
  <c r="DS10" i="5"/>
  <c r="DR10" i="5"/>
  <c r="DQ10" i="5"/>
  <c r="DH10" i="5"/>
  <c r="DG10" i="5"/>
  <c r="DF10" i="5"/>
  <c r="CW10" i="5"/>
  <c r="CV10" i="5"/>
  <c r="CU10" i="5"/>
  <c r="CL10" i="5"/>
  <c r="CK10" i="5"/>
  <c r="CJ10" i="5"/>
  <c r="CA10" i="5"/>
  <c r="BZ10" i="5"/>
  <c r="BY10" i="5"/>
  <c r="BP10" i="5"/>
  <c r="BO10" i="5"/>
  <c r="BN10" i="5"/>
  <c r="BE10" i="5"/>
  <c r="BD10" i="5"/>
  <c r="BC10" i="5"/>
  <c r="ED9" i="5"/>
  <c r="EC9" i="5"/>
  <c r="EB9" i="5"/>
  <c r="DS9" i="5"/>
  <c r="DR9" i="5"/>
  <c r="DQ9" i="5"/>
  <c r="DH9" i="5"/>
  <c r="DG9" i="5"/>
  <c r="DF9" i="5"/>
  <c r="CW9" i="5"/>
  <c r="CV9" i="5"/>
  <c r="CU9" i="5"/>
  <c r="CL9" i="5"/>
  <c r="CK9" i="5"/>
  <c r="CJ9" i="5"/>
  <c r="CA9" i="5"/>
  <c r="BZ9" i="5"/>
  <c r="BY9" i="5"/>
  <c r="BP9" i="5"/>
  <c r="BO9" i="5"/>
  <c r="BN9" i="5"/>
  <c r="BE9" i="5"/>
  <c r="BD9" i="5"/>
  <c r="BC9" i="5"/>
  <c r="ED8" i="5"/>
  <c r="EC8" i="5"/>
  <c r="EB8" i="5"/>
  <c r="DS8" i="5"/>
  <c r="DR8" i="5"/>
  <c r="DQ8" i="5"/>
  <c r="DH8" i="5"/>
  <c r="DG8" i="5"/>
  <c r="DF8" i="5"/>
  <c r="CW8" i="5"/>
  <c r="CV8" i="5"/>
  <c r="CU8" i="5"/>
  <c r="CL8" i="5"/>
  <c r="CK8" i="5"/>
  <c r="CJ8" i="5"/>
  <c r="CA8" i="5"/>
  <c r="BZ8" i="5"/>
  <c r="BY8" i="5"/>
  <c r="BP8" i="5"/>
  <c r="BO8" i="5"/>
  <c r="BN8" i="5"/>
  <c r="BE8" i="5"/>
  <c r="BD8" i="5"/>
  <c r="BC8" i="5"/>
  <c r="ED7" i="5"/>
  <c r="EC7" i="5"/>
  <c r="EB7" i="5"/>
  <c r="DS7" i="5"/>
  <c r="DR7" i="5"/>
  <c r="DQ7" i="5"/>
  <c r="DH7" i="5"/>
  <c r="DG7" i="5"/>
  <c r="DF7" i="5"/>
  <c r="CW7" i="5"/>
  <c r="CV7" i="5"/>
  <c r="CU7" i="5"/>
  <c r="CL7" i="5"/>
  <c r="CK7" i="5"/>
  <c r="CJ7" i="5"/>
  <c r="CA7" i="5"/>
  <c r="BZ7" i="5"/>
  <c r="BY7" i="5"/>
  <c r="BP7" i="5"/>
  <c r="BO7" i="5"/>
  <c r="BN7" i="5"/>
  <c r="BE7" i="5"/>
  <c r="BD7" i="5"/>
  <c r="BC7" i="5"/>
  <c r="ED6" i="5"/>
  <c r="EC6" i="5"/>
  <c r="EB6" i="5"/>
  <c r="DS6" i="5"/>
  <c r="DR6" i="5"/>
  <c r="DQ6" i="5"/>
  <c r="DH6" i="5"/>
  <c r="DG6" i="5"/>
  <c r="DF6" i="5"/>
  <c r="CW6" i="5"/>
  <c r="CV6" i="5"/>
  <c r="CU6" i="5"/>
  <c r="CL6" i="5"/>
  <c r="CK6" i="5"/>
  <c r="CJ6" i="5"/>
  <c r="CA6" i="5"/>
  <c r="BZ6" i="5"/>
  <c r="BY6" i="5"/>
  <c r="BP6" i="5"/>
  <c r="BO6" i="5"/>
  <c r="BN6" i="5"/>
  <c r="BE6" i="5"/>
  <c r="BD6" i="5"/>
  <c r="BC6" i="5"/>
  <c r="ED5" i="5"/>
  <c r="EC5" i="5"/>
  <c r="EB5" i="5"/>
  <c r="DS5" i="5"/>
  <c r="DR5" i="5"/>
  <c r="DQ5" i="5"/>
  <c r="DH5" i="5"/>
  <c r="DG5" i="5"/>
  <c r="DF5" i="5"/>
  <c r="CW5" i="5"/>
  <c r="CV5" i="5"/>
  <c r="CU5" i="5"/>
  <c r="CL5" i="5"/>
  <c r="CK5" i="5"/>
  <c r="CJ5" i="5"/>
  <c r="CA5" i="5"/>
  <c r="BZ5" i="5"/>
  <c r="BY5" i="5"/>
  <c r="BP5" i="5"/>
  <c r="BO5" i="5"/>
  <c r="BN5" i="5"/>
  <c r="BE5" i="5"/>
  <c r="BD5" i="5"/>
  <c r="BC5" i="5"/>
  <c r="ED4" i="5"/>
  <c r="EC4" i="5"/>
  <c r="EB4" i="5"/>
  <c r="DS4" i="5"/>
  <c r="DR4" i="5"/>
  <c r="DQ4" i="5"/>
  <c r="DH4" i="5"/>
  <c r="DG4" i="5"/>
  <c r="DF4" i="5"/>
  <c r="CW4" i="5"/>
  <c r="CV4" i="5"/>
  <c r="CU4" i="5"/>
  <c r="CL4" i="5"/>
  <c r="CK4" i="5"/>
  <c r="CJ4" i="5"/>
  <c r="CA4" i="5"/>
  <c r="BZ4" i="5"/>
  <c r="BY4" i="5"/>
  <c r="BP4" i="5"/>
  <c r="BO4" i="5"/>
  <c r="BN4" i="5"/>
  <c r="BE4" i="5"/>
  <c r="BD4" i="5"/>
  <c r="BC4" i="5"/>
  <c r="AT22" i="5"/>
  <c r="AT21" i="5"/>
  <c r="AT20" i="5"/>
  <c r="AT19" i="5"/>
  <c r="AT18" i="5"/>
  <c r="AT17" i="5"/>
  <c r="AT16" i="5"/>
  <c r="AT15" i="5"/>
  <c r="AT14" i="5"/>
  <c r="AT13" i="5"/>
  <c r="AT12" i="5"/>
  <c r="AT11" i="5"/>
  <c r="AT10" i="5"/>
  <c r="AT9" i="5"/>
  <c r="AT8" i="5"/>
  <c r="AT7" i="5"/>
  <c r="AT6" i="5"/>
  <c r="AT5" i="5"/>
  <c r="AT4" i="5"/>
  <c r="AT3" i="5"/>
  <c r="AZ3" i="5"/>
  <c r="BA3" i="5"/>
  <c r="BB3" i="5"/>
  <c r="BK3" i="5"/>
  <c r="BL3" i="5"/>
  <c r="BM3" i="5"/>
  <c r="BV3" i="5"/>
  <c r="BW3" i="5"/>
  <c r="BX3" i="5"/>
  <c r="CG3" i="5"/>
  <c r="AS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S6" i="5"/>
  <c r="AS5" i="5"/>
  <c r="AS4" i="5"/>
  <c r="AR3" i="5"/>
  <c r="AR4" i="5"/>
  <c r="AR5" i="5"/>
  <c r="AR6" i="5"/>
  <c r="AR7" i="5"/>
  <c r="AR8" i="5"/>
  <c r="AR9" i="5"/>
  <c r="AR10" i="5"/>
  <c r="AR11" i="5"/>
  <c r="AR12" i="5"/>
  <c r="AR13" i="5"/>
  <c r="AR14" i="5"/>
  <c r="AR15" i="5"/>
  <c r="AR16" i="5"/>
  <c r="AR17" i="5"/>
  <c r="AR18" i="5"/>
  <c r="AR19" i="5"/>
  <c r="AR20" i="5"/>
  <c r="AR21" i="5"/>
  <c r="AR22" i="5"/>
  <c r="AI22" i="5"/>
  <c r="AI21" i="5"/>
  <c r="AI20" i="5"/>
  <c r="AI19" i="5"/>
  <c r="AI18" i="5"/>
  <c r="AI17" i="5"/>
  <c r="AI16" i="5"/>
  <c r="AI15" i="5"/>
  <c r="AI14" i="5"/>
  <c r="AI13" i="5"/>
  <c r="AI12" i="5"/>
  <c r="AI11" i="5"/>
  <c r="AI10" i="5"/>
  <c r="AI9" i="5"/>
  <c r="AI8" i="5"/>
  <c r="AI7" i="5"/>
  <c r="AI6" i="5"/>
  <c r="AI5" i="5"/>
  <c r="AI4" i="5"/>
  <c r="AI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H9" i="5"/>
  <c r="AH8" i="5"/>
  <c r="AH7" i="5"/>
  <c r="AH6" i="5"/>
  <c r="AH5" i="5"/>
  <c r="AH4" i="5"/>
  <c r="AH3" i="5"/>
  <c r="AG22" i="5"/>
  <c r="AG21" i="5"/>
  <c r="AG20" i="5"/>
  <c r="AG19" i="5"/>
  <c r="AG18" i="5"/>
  <c r="AG17" i="5"/>
  <c r="AG16" i="5"/>
  <c r="AG15" i="5"/>
  <c r="AG14" i="5"/>
  <c r="AG13" i="5"/>
  <c r="AG12" i="5"/>
  <c r="AG11" i="5"/>
  <c r="AG10" i="5"/>
  <c r="AG9" i="5"/>
  <c r="AG8" i="5"/>
  <c r="AG7" i="5"/>
  <c r="AG6" i="5"/>
  <c r="AG5" i="5"/>
  <c r="AG4" i="5"/>
  <c r="AG3" i="5"/>
  <c r="D281" i="25"/>
  <c r="C281" i="25"/>
  <c r="B281" i="25"/>
  <c r="D280" i="25"/>
  <c r="C280" i="25"/>
  <c r="B280" i="25"/>
  <c r="D279" i="25"/>
  <c r="C279" i="25"/>
  <c r="B279" i="25"/>
  <c r="D278" i="25"/>
  <c r="C278" i="25"/>
  <c r="B278" i="25"/>
  <c r="D277" i="25"/>
  <c r="C277" i="25"/>
  <c r="B277" i="25"/>
  <c r="D276" i="25"/>
  <c r="C276" i="25"/>
  <c r="B276" i="25"/>
  <c r="D275" i="25"/>
  <c r="C275" i="25"/>
  <c r="B275" i="25"/>
  <c r="D274" i="25"/>
  <c r="C274" i="25"/>
  <c r="B274" i="25"/>
  <c r="D273" i="25"/>
  <c r="C273" i="25"/>
  <c r="B273" i="25"/>
  <c r="D272" i="25"/>
  <c r="C272" i="25"/>
  <c r="B272" i="25"/>
  <c r="K270" i="25"/>
  <c r="I270" i="25"/>
  <c r="C270" i="25"/>
  <c r="D267" i="25"/>
  <c r="C267" i="25"/>
  <c r="B267" i="25"/>
  <c r="D266" i="25"/>
  <c r="C266" i="25"/>
  <c r="B266" i="25"/>
  <c r="D265" i="25"/>
  <c r="C265" i="25"/>
  <c r="B265" i="25"/>
  <c r="D264" i="25"/>
  <c r="C264" i="25"/>
  <c r="B264" i="25"/>
  <c r="D263" i="25"/>
  <c r="C263" i="25"/>
  <c r="B263" i="25"/>
  <c r="D262" i="25"/>
  <c r="C262" i="25"/>
  <c r="B262" i="25"/>
  <c r="D261" i="25"/>
  <c r="C261" i="25"/>
  <c r="B261" i="25"/>
  <c r="D260" i="25"/>
  <c r="C260" i="25"/>
  <c r="B260" i="25"/>
  <c r="D259" i="25"/>
  <c r="C259" i="25"/>
  <c r="B259" i="25"/>
  <c r="D258" i="25"/>
  <c r="C258" i="25"/>
  <c r="B258" i="25"/>
  <c r="K256" i="25"/>
  <c r="I256" i="25"/>
  <c r="C256" i="25"/>
  <c r="D253" i="25"/>
  <c r="C253" i="25"/>
  <c r="B253" i="25"/>
  <c r="D252" i="25"/>
  <c r="C252" i="25"/>
  <c r="B252" i="25"/>
  <c r="D251" i="25"/>
  <c r="C251" i="25"/>
  <c r="B251" i="25"/>
  <c r="D250" i="25"/>
  <c r="C250" i="25"/>
  <c r="B250" i="25"/>
  <c r="D249" i="25"/>
  <c r="C249" i="25"/>
  <c r="B249" i="25"/>
  <c r="D248" i="25"/>
  <c r="C248" i="25"/>
  <c r="B248" i="25"/>
  <c r="D247" i="25"/>
  <c r="C247" i="25"/>
  <c r="B247" i="25"/>
  <c r="D246" i="25"/>
  <c r="C246" i="25"/>
  <c r="B246" i="25"/>
  <c r="D245" i="25"/>
  <c r="C245" i="25"/>
  <c r="B245" i="25"/>
  <c r="D244" i="25"/>
  <c r="C244" i="25"/>
  <c r="B244" i="25"/>
  <c r="K242" i="25"/>
  <c r="I242" i="25"/>
  <c r="C242" i="25"/>
  <c r="D239" i="25"/>
  <c r="C239" i="25"/>
  <c r="B239" i="25"/>
  <c r="D238" i="25"/>
  <c r="C238" i="25"/>
  <c r="B238" i="25"/>
  <c r="D237" i="25"/>
  <c r="C237" i="25"/>
  <c r="B237" i="25"/>
  <c r="D236" i="25"/>
  <c r="C236" i="25"/>
  <c r="B236" i="25"/>
  <c r="D235" i="25"/>
  <c r="C235" i="25"/>
  <c r="B235" i="25"/>
  <c r="D234" i="25"/>
  <c r="C234" i="25"/>
  <c r="B234" i="25"/>
  <c r="D233" i="25"/>
  <c r="C233" i="25"/>
  <c r="B233" i="25"/>
  <c r="D232" i="25"/>
  <c r="C232" i="25"/>
  <c r="B232" i="25"/>
  <c r="D231" i="25"/>
  <c r="C231" i="25"/>
  <c r="B231" i="25"/>
  <c r="D230" i="25"/>
  <c r="C230" i="25"/>
  <c r="B230" i="25"/>
  <c r="K228" i="25"/>
  <c r="I228" i="25"/>
  <c r="C228" i="25"/>
  <c r="D225" i="25"/>
  <c r="C225" i="25"/>
  <c r="B225" i="25"/>
  <c r="D224" i="25"/>
  <c r="C224" i="25"/>
  <c r="B224" i="25"/>
  <c r="D223" i="25"/>
  <c r="C223" i="25"/>
  <c r="B223" i="25"/>
  <c r="D222" i="25"/>
  <c r="C222" i="25"/>
  <c r="B222" i="25"/>
  <c r="D221" i="25"/>
  <c r="C221" i="25"/>
  <c r="B221" i="25"/>
  <c r="D220" i="25"/>
  <c r="C220" i="25"/>
  <c r="B220" i="25"/>
  <c r="D219" i="25"/>
  <c r="C219" i="25"/>
  <c r="B219" i="25"/>
  <c r="D218" i="25"/>
  <c r="C218" i="25"/>
  <c r="B218" i="25"/>
  <c r="D217" i="25"/>
  <c r="C217" i="25"/>
  <c r="B217" i="25"/>
  <c r="D216" i="25"/>
  <c r="C216" i="25"/>
  <c r="Q216" i="25" s="1"/>
  <c r="B216" i="25"/>
  <c r="K214" i="25"/>
  <c r="I214" i="25"/>
  <c r="C214" i="25"/>
  <c r="D211" i="25"/>
  <c r="C211" i="25"/>
  <c r="B211" i="25"/>
  <c r="D210" i="25"/>
  <c r="C210" i="25"/>
  <c r="B210" i="25"/>
  <c r="D209" i="25"/>
  <c r="C209" i="25"/>
  <c r="B209" i="25"/>
  <c r="D208" i="25"/>
  <c r="C208" i="25"/>
  <c r="B208" i="25"/>
  <c r="D207" i="25"/>
  <c r="C207" i="25"/>
  <c r="B207" i="25"/>
  <c r="D206" i="25"/>
  <c r="C206" i="25"/>
  <c r="B206" i="25"/>
  <c r="D205" i="25"/>
  <c r="C205" i="25"/>
  <c r="B205" i="25"/>
  <c r="D204" i="25"/>
  <c r="C204" i="25"/>
  <c r="B204" i="25"/>
  <c r="D203" i="25"/>
  <c r="C203" i="25"/>
  <c r="B203" i="25"/>
  <c r="D202" i="25"/>
  <c r="C202" i="25"/>
  <c r="B202" i="25"/>
  <c r="K200" i="25"/>
  <c r="I200" i="25"/>
  <c r="C200" i="25"/>
  <c r="D197" i="25"/>
  <c r="C197" i="25"/>
  <c r="B197" i="25"/>
  <c r="D196" i="25"/>
  <c r="C196" i="25"/>
  <c r="B196" i="25"/>
  <c r="D195" i="25"/>
  <c r="C195" i="25"/>
  <c r="B195" i="25"/>
  <c r="D194" i="25"/>
  <c r="C194" i="25"/>
  <c r="B194" i="25"/>
  <c r="D193" i="25"/>
  <c r="C193" i="25"/>
  <c r="B193" i="25"/>
  <c r="D192" i="25"/>
  <c r="C192" i="25"/>
  <c r="B192" i="25"/>
  <c r="D191" i="25"/>
  <c r="C191" i="25"/>
  <c r="B191" i="25"/>
  <c r="D190" i="25"/>
  <c r="C190" i="25"/>
  <c r="B190" i="25"/>
  <c r="D189" i="25"/>
  <c r="C189" i="25"/>
  <c r="B189" i="25"/>
  <c r="D188" i="25"/>
  <c r="C188" i="25"/>
  <c r="B188" i="25"/>
  <c r="K186" i="25"/>
  <c r="I186" i="25"/>
  <c r="C186" i="25"/>
  <c r="D183" i="25"/>
  <c r="C183" i="25"/>
  <c r="B183" i="25"/>
  <c r="D182" i="25"/>
  <c r="C182" i="25"/>
  <c r="B182" i="25"/>
  <c r="D181" i="25"/>
  <c r="C181" i="25"/>
  <c r="B181" i="25"/>
  <c r="D180" i="25"/>
  <c r="C180" i="25"/>
  <c r="B180" i="25"/>
  <c r="D179" i="25"/>
  <c r="C179" i="25"/>
  <c r="B179" i="25"/>
  <c r="D178" i="25"/>
  <c r="C178" i="25"/>
  <c r="B178" i="25"/>
  <c r="D177" i="25"/>
  <c r="C177" i="25"/>
  <c r="B177" i="25"/>
  <c r="D176" i="25"/>
  <c r="C176" i="25"/>
  <c r="B176" i="25"/>
  <c r="D175" i="25"/>
  <c r="C175" i="25"/>
  <c r="B175" i="25"/>
  <c r="D174" i="25"/>
  <c r="C174" i="25"/>
  <c r="B174" i="25"/>
  <c r="K172" i="25"/>
  <c r="I172" i="25"/>
  <c r="C172" i="25"/>
  <c r="D169" i="25"/>
  <c r="C169" i="25"/>
  <c r="B169" i="25"/>
  <c r="D168" i="25"/>
  <c r="C168" i="25"/>
  <c r="B168" i="25"/>
  <c r="D167" i="25"/>
  <c r="C167" i="25"/>
  <c r="B167" i="25"/>
  <c r="D166" i="25"/>
  <c r="C166" i="25"/>
  <c r="B166" i="25"/>
  <c r="D165" i="25"/>
  <c r="C165" i="25"/>
  <c r="B165" i="25"/>
  <c r="D164" i="25"/>
  <c r="C164" i="25"/>
  <c r="B164" i="25"/>
  <c r="D163" i="25"/>
  <c r="C163" i="25"/>
  <c r="B163" i="25"/>
  <c r="D162" i="25"/>
  <c r="C162" i="25"/>
  <c r="B162" i="25"/>
  <c r="D161" i="25"/>
  <c r="C161" i="25"/>
  <c r="B161" i="25"/>
  <c r="D160" i="25"/>
  <c r="C160" i="25"/>
  <c r="B160" i="25"/>
  <c r="K158" i="25"/>
  <c r="I158" i="25"/>
  <c r="C158" i="25"/>
  <c r="D155" i="25"/>
  <c r="C155" i="25"/>
  <c r="B155" i="25"/>
  <c r="D154" i="25"/>
  <c r="C154" i="25"/>
  <c r="B154" i="25"/>
  <c r="D153" i="25"/>
  <c r="C153" i="25"/>
  <c r="B153" i="25"/>
  <c r="D152" i="25"/>
  <c r="C152" i="25"/>
  <c r="B152" i="25"/>
  <c r="D151" i="25"/>
  <c r="C151" i="25"/>
  <c r="B151" i="25"/>
  <c r="D150" i="25"/>
  <c r="C150" i="25"/>
  <c r="B150" i="25"/>
  <c r="D149" i="25"/>
  <c r="C149" i="25"/>
  <c r="B149" i="25"/>
  <c r="D148" i="25"/>
  <c r="C148" i="25"/>
  <c r="B148" i="25"/>
  <c r="D147" i="25"/>
  <c r="C147" i="25"/>
  <c r="B147" i="25"/>
  <c r="D146" i="25"/>
  <c r="C146" i="25"/>
  <c r="B146" i="25"/>
  <c r="K144" i="25"/>
  <c r="I144" i="25"/>
  <c r="C144" i="25"/>
  <c r="T281" i="25"/>
  <c r="R281" i="25" s="1"/>
  <c r="S281" i="25"/>
  <c r="P281" i="25"/>
  <c r="O281" i="25"/>
  <c r="T280" i="25"/>
  <c r="S280" i="25"/>
  <c r="P280" i="25"/>
  <c r="O280" i="25"/>
  <c r="T279" i="25"/>
  <c r="R279" i="25" s="1"/>
  <c r="S279" i="25"/>
  <c r="P279" i="25"/>
  <c r="O279" i="25"/>
  <c r="T278" i="25"/>
  <c r="S278" i="25"/>
  <c r="P278" i="25"/>
  <c r="O278" i="25"/>
  <c r="R278" i="25"/>
  <c r="T277" i="25"/>
  <c r="R277" i="25" s="1"/>
  <c r="S277" i="25"/>
  <c r="P277" i="25"/>
  <c r="O277" i="25"/>
  <c r="T276" i="25"/>
  <c r="S276" i="25"/>
  <c r="P276" i="25"/>
  <c r="O276" i="25"/>
  <c r="T275" i="25"/>
  <c r="S275" i="25"/>
  <c r="P275" i="25"/>
  <c r="O275" i="25"/>
  <c r="T274" i="25"/>
  <c r="S274" i="25"/>
  <c r="P274" i="25"/>
  <c r="O274" i="25"/>
  <c r="R274" i="25"/>
  <c r="T273" i="25"/>
  <c r="R273" i="25" s="1"/>
  <c r="S273" i="25"/>
  <c r="P273" i="25"/>
  <c r="O273" i="25"/>
  <c r="T272" i="25"/>
  <c r="S272" i="25"/>
  <c r="P272" i="25"/>
  <c r="O272" i="25"/>
  <c r="T267" i="25"/>
  <c r="R267" i="25" s="1"/>
  <c r="S267" i="25"/>
  <c r="P267" i="25"/>
  <c r="O267" i="25"/>
  <c r="T266" i="25"/>
  <c r="S266" i="25"/>
  <c r="P266" i="25"/>
  <c r="O266" i="25"/>
  <c r="T265" i="25"/>
  <c r="R265" i="25" s="1"/>
  <c r="S265" i="25"/>
  <c r="P265" i="25"/>
  <c r="O265" i="25"/>
  <c r="T264" i="25"/>
  <c r="S264" i="25"/>
  <c r="P264" i="25"/>
  <c r="O264" i="25"/>
  <c r="R264" i="25"/>
  <c r="T263" i="25"/>
  <c r="R263" i="25" s="1"/>
  <c r="S263" i="25"/>
  <c r="P263" i="25"/>
  <c r="O263" i="25"/>
  <c r="T262" i="25"/>
  <c r="S262" i="25"/>
  <c r="P262" i="25"/>
  <c r="O262" i="25"/>
  <c r="T261" i="25"/>
  <c r="R261" i="25" s="1"/>
  <c r="S261" i="25"/>
  <c r="P261" i="25"/>
  <c r="O261" i="25"/>
  <c r="T260" i="25"/>
  <c r="R260" i="25" s="1"/>
  <c r="S260" i="25"/>
  <c r="P260" i="25"/>
  <c r="O260" i="25"/>
  <c r="T259" i="25"/>
  <c r="R259" i="25" s="1"/>
  <c r="S259" i="25"/>
  <c r="P259" i="25"/>
  <c r="O259" i="25"/>
  <c r="T258" i="25"/>
  <c r="S258" i="25"/>
  <c r="P258" i="25"/>
  <c r="O258" i="25"/>
  <c r="T253" i="25"/>
  <c r="R253" i="25" s="1"/>
  <c r="S253" i="25"/>
  <c r="P253" i="25"/>
  <c r="O253" i="25"/>
  <c r="Q253" i="25" s="1"/>
  <c r="T252" i="25"/>
  <c r="S252" i="25"/>
  <c r="P252" i="25"/>
  <c r="O252" i="25"/>
  <c r="R252" i="25"/>
  <c r="T251" i="25"/>
  <c r="S251" i="25"/>
  <c r="P251" i="25"/>
  <c r="O251" i="25"/>
  <c r="T250" i="25"/>
  <c r="S250" i="25"/>
  <c r="P250" i="25"/>
  <c r="O250" i="25"/>
  <c r="R250" i="25"/>
  <c r="T249" i="25"/>
  <c r="R249" i="25" s="1"/>
  <c r="S249" i="25"/>
  <c r="P249" i="25"/>
  <c r="O249" i="25"/>
  <c r="T248" i="25"/>
  <c r="S248" i="25"/>
  <c r="P248" i="25"/>
  <c r="O248" i="25"/>
  <c r="R248" i="25"/>
  <c r="T247" i="25"/>
  <c r="S247" i="25"/>
  <c r="P247" i="25"/>
  <c r="O247" i="25"/>
  <c r="T246" i="25"/>
  <c r="S246" i="25"/>
  <c r="P246" i="25"/>
  <c r="O246" i="25"/>
  <c r="R246" i="25"/>
  <c r="T245" i="25"/>
  <c r="R245" i="25" s="1"/>
  <c r="S245" i="25"/>
  <c r="P245" i="25"/>
  <c r="O245" i="25"/>
  <c r="Q245" i="25" s="1"/>
  <c r="T244" i="25"/>
  <c r="R244" i="25" s="1"/>
  <c r="S244" i="25"/>
  <c r="P244" i="25"/>
  <c r="O244" i="25"/>
  <c r="T239" i="25"/>
  <c r="S239" i="25"/>
  <c r="P239" i="25"/>
  <c r="O239" i="25"/>
  <c r="R239" i="25"/>
  <c r="T238" i="25"/>
  <c r="S238" i="25"/>
  <c r="P238" i="25"/>
  <c r="O238" i="25"/>
  <c r="T237" i="25"/>
  <c r="S237" i="25"/>
  <c r="P237" i="25"/>
  <c r="O237" i="25"/>
  <c r="R237" i="25"/>
  <c r="T236" i="25"/>
  <c r="R236" i="25" s="1"/>
  <c r="S236" i="25"/>
  <c r="P236" i="25"/>
  <c r="O236" i="25"/>
  <c r="T235" i="25"/>
  <c r="R235" i="25" s="1"/>
  <c r="S235" i="25"/>
  <c r="P235" i="25"/>
  <c r="O235" i="25"/>
  <c r="T234" i="25"/>
  <c r="S234" i="25"/>
  <c r="P234" i="25"/>
  <c r="O234" i="25"/>
  <c r="T233" i="25"/>
  <c r="S233" i="25"/>
  <c r="P233" i="25"/>
  <c r="O233" i="25"/>
  <c r="R233" i="25"/>
  <c r="T232" i="25"/>
  <c r="R232" i="25" s="1"/>
  <c r="S232" i="25"/>
  <c r="P232" i="25"/>
  <c r="O232" i="25"/>
  <c r="T231" i="25"/>
  <c r="S231" i="25"/>
  <c r="P231" i="25"/>
  <c r="O231" i="25"/>
  <c r="R231" i="25"/>
  <c r="T230" i="25"/>
  <c r="S230" i="25"/>
  <c r="P230" i="25"/>
  <c r="O230" i="25"/>
  <c r="T225" i="25"/>
  <c r="R225" i="25" s="1"/>
  <c r="S225" i="25"/>
  <c r="T224" i="25"/>
  <c r="R224" i="25" s="1"/>
  <c r="S224" i="25"/>
  <c r="T223" i="25"/>
  <c r="R223" i="25" s="1"/>
  <c r="S223" i="25"/>
  <c r="T222" i="25"/>
  <c r="R222" i="25" s="1"/>
  <c r="S222" i="25"/>
  <c r="T221" i="25"/>
  <c r="R221" i="25" s="1"/>
  <c r="S221" i="25"/>
  <c r="T220" i="25"/>
  <c r="R220" i="25" s="1"/>
  <c r="S220" i="25"/>
  <c r="T219" i="25"/>
  <c r="R219" i="25" s="1"/>
  <c r="S219" i="25"/>
  <c r="T218" i="25"/>
  <c r="R218" i="25" s="1"/>
  <c r="S218" i="25"/>
  <c r="T217" i="25"/>
  <c r="R217" i="25" s="1"/>
  <c r="S217" i="25"/>
  <c r="T216" i="25"/>
  <c r="S216" i="25"/>
  <c r="T211" i="25"/>
  <c r="S211" i="25"/>
  <c r="P211" i="25"/>
  <c r="O211" i="25"/>
  <c r="Q211" i="25" s="1"/>
  <c r="R211" i="25"/>
  <c r="T210" i="25"/>
  <c r="S210" i="25"/>
  <c r="P210" i="25"/>
  <c r="O210" i="25"/>
  <c r="T209" i="25"/>
  <c r="S209" i="25"/>
  <c r="P209" i="25"/>
  <c r="O209" i="25"/>
  <c r="R209" i="25"/>
  <c r="T208" i="25"/>
  <c r="R208" i="25" s="1"/>
  <c r="S208" i="25"/>
  <c r="P208" i="25"/>
  <c r="O208" i="25"/>
  <c r="T207" i="25"/>
  <c r="S207" i="25"/>
  <c r="P207" i="25"/>
  <c r="O207" i="25"/>
  <c r="R207" i="25"/>
  <c r="T206" i="25"/>
  <c r="R206" i="25" s="1"/>
  <c r="S206" i="25"/>
  <c r="P206" i="25"/>
  <c r="O206" i="25"/>
  <c r="T205" i="25"/>
  <c r="R205" i="25" s="1"/>
  <c r="S205" i="25"/>
  <c r="P205" i="25"/>
  <c r="O205" i="25"/>
  <c r="T204" i="25"/>
  <c r="R204" i="25" s="1"/>
  <c r="S204" i="25"/>
  <c r="P204" i="25"/>
  <c r="O204" i="25"/>
  <c r="T203" i="25"/>
  <c r="S203" i="25"/>
  <c r="P203" i="25"/>
  <c r="O203" i="25"/>
  <c r="R203" i="25"/>
  <c r="T202" i="25"/>
  <c r="S202" i="25"/>
  <c r="P202" i="25"/>
  <c r="O202" i="25"/>
  <c r="T197" i="25"/>
  <c r="R197" i="25" s="1"/>
  <c r="S197" i="25"/>
  <c r="P197" i="25"/>
  <c r="O197" i="25"/>
  <c r="T196" i="25"/>
  <c r="S196" i="25"/>
  <c r="P196" i="25"/>
  <c r="O196" i="25"/>
  <c r="T195" i="25"/>
  <c r="R195" i="25" s="1"/>
  <c r="S195" i="25"/>
  <c r="P195" i="25"/>
  <c r="O195" i="25"/>
  <c r="T194" i="25"/>
  <c r="R194" i="25" s="1"/>
  <c r="S194" i="25"/>
  <c r="P194" i="25"/>
  <c r="O194" i="25"/>
  <c r="T193" i="25"/>
  <c r="R193" i="25" s="1"/>
  <c r="S193" i="25"/>
  <c r="P193" i="25"/>
  <c r="O193" i="25"/>
  <c r="T192" i="25"/>
  <c r="S192" i="25"/>
  <c r="P192" i="25"/>
  <c r="O192" i="25"/>
  <c r="T191" i="25"/>
  <c r="R191" i="25" s="1"/>
  <c r="S191" i="25"/>
  <c r="P191" i="25"/>
  <c r="O191" i="25"/>
  <c r="T190" i="25"/>
  <c r="R190" i="25" s="1"/>
  <c r="S190" i="25"/>
  <c r="P190" i="25"/>
  <c r="O190" i="25"/>
  <c r="T189" i="25"/>
  <c r="R189" i="25" s="1"/>
  <c r="S189" i="25"/>
  <c r="P189" i="25"/>
  <c r="O189" i="25"/>
  <c r="T188" i="25"/>
  <c r="S188" i="25"/>
  <c r="P188" i="25"/>
  <c r="O188" i="25"/>
  <c r="T183" i="25"/>
  <c r="R183" i="25" s="1"/>
  <c r="S183" i="25"/>
  <c r="P183" i="25"/>
  <c r="O183" i="25"/>
  <c r="Q183" i="25" s="1"/>
  <c r="T182" i="25"/>
  <c r="S182" i="25"/>
  <c r="P182" i="25"/>
  <c r="O182" i="25"/>
  <c r="Q182" i="25" s="1"/>
  <c r="T181" i="25"/>
  <c r="R181" i="25" s="1"/>
  <c r="S181" i="25"/>
  <c r="P181" i="25"/>
  <c r="O181" i="25"/>
  <c r="T180" i="25"/>
  <c r="S180" i="25"/>
  <c r="P180" i="25"/>
  <c r="O180" i="25"/>
  <c r="Q180" i="25" s="1"/>
  <c r="R180" i="25"/>
  <c r="T179" i="25"/>
  <c r="R179" i="25" s="1"/>
  <c r="S179" i="25"/>
  <c r="P179" i="25"/>
  <c r="O179" i="25"/>
  <c r="T178" i="25"/>
  <c r="S178" i="25"/>
  <c r="P178" i="25"/>
  <c r="O178" i="25"/>
  <c r="R178" i="25"/>
  <c r="T177" i="25"/>
  <c r="R177" i="25" s="1"/>
  <c r="S177" i="25"/>
  <c r="P177" i="25"/>
  <c r="O177" i="25"/>
  <c r="T176" i="25"/>
  <c r="S176" i="25"/>
  <c r="P176" i="25"/>
  <c r="O176" i="25"/>
  <c r="R176" i="25"/>
  <c r="T175" i="25"/>
  <c r="R175" i="25" s="1"/>
  <c r="S175" i="25"/>
  <c r="P175" i="25"/>
  <c r="O175" i="25"/>
  <c r="Q175" i="25" s="1"/>
  <c r="T174" i="25"/>
  <c r="S174" i="25"/>
  <c r="P174" i="25"/>
  <c r="O174" i="25"/>
  <c r="Q174" i="25" s="1"/>
  <c r="T169" i="25"/>
  <c r="R169" i="25" s="1"/>
  <c r="S169" i="25"/>
  <c r="P169" i="25"/>
  <c r="O169" i="25"/>
  <c r="T168" i="25"/>
  <c r="S168" i="25"/>
  <c r="P168" i="25"/>
  <c r="O168" i="25"/>
  <c r="T167" i="25"/>
  <c r="R167" i="25" s="1"/>
  <c r="S167" i="25"/>
  <c r="P167" i="25"/>
  <c r="O167" i="25"/>
  <c r="T166" i="25"/>
  <c r="S166" i="25"/>
  <c r="P166" i="25"/>
  <c r="O166" i="25"/>
  <c r="R166" i="25"/>
  <c r="T165" i="25"/>
  <c r="R165" i="25" s="1"/>
  <c r="S165" i="25"/>
  <c r="P165" i="25"/>
  <c r="O165" i="25"/>
  <c r="Q165" i="25" s="1"/>
  <c r="T164" i="25"/>
  <c r="S164" i="25"/>
  <c r="P164" i="25"/>
  <c r="O164" i="25"/>
  <c r="Q164" i="25" s="1"/>
  <c r="T163" i="25"/>
  <c r="R163" i="25" s="1"/>
  <c r="S163" i="25"/>
  <c r="P163" i="25"/>
  <c r="O163" i="25"/>
  <c r="Q163" i="25" s="1"/>
  <c r="T162" i="25"/>
  <c r="S162" i="25"/>
  <c r="P162" i="25"/>
  <c r="O162" i="25"/>
  <c r="Q162" i="25" s="1"/>
  <c r="R162" i="25"/>
  <c r="T161" i="25"/>
  <c r="R161" i="25" s="1"/>
  <c r="S161" i="25"/>
  <c r="P161" i="25"/>
  <c r="O161" i="25"/>
  <c r="T160" i="25"/>
  <c r="S160" i="25"/>
  <c r="P160" i="25"/>
  <c r="O160" i="25"/>
  <c r="T155" i="25"/>
  <c r="S155" i="25"/>
  <c r="P155" i="25"/>
  <c r="O155" i="25"/>
  <c r="R155" i="25"/>
  <c r="T154" i="25"/>
  <c r="S154" i="25"/>
  <c r="P154" i="25"/>
  <c r="O154" i="25"/>
  <c r="T153" i="25"/>
  <c r="S153" i="25"/>
  <c r="P153" i="25"/>
  <c r="O153" i="25"/>
  <c r="R153" i="25"/>
  <c r="T152" i="25"/>
  <c r="R152" i="25" s="1"/>
  <c r="S152" i="25"/>
  <c r="P152" i="25"/>
  <c r="O152" i="25"/>
  <c r="T151" i="25"/>
  <c r="S151" i="25"/>
  <c r="P151" i="25"/>
  <c r="O151" i="25"/>
  <c r="R151" i="25"/>
  <c r="T150" i="25"/>
  <c r="S150" i="25"/>
  <c r="P150" i="25"/>
  <c r="O150" i="25"/>
  <c r="T149" i="25"/>
  <c r="S149" i="25"/>
  <c r="P149" i="25"/>
  <c r="O149" i="25"/>
  <c r="Q149" i="25" s="1"/>
  <c r="T148" i="25"/>
  <c r="R148" i="25" s="1"/>
  <c r="S148" i="25"/>
  <c r="P148" i="25"/>
  <c r="O148" i="25"/>
  <c r="T147" i="25"/>
  <c r="S147" i="25"/>
  <c r="P147" i="25"/>
  <c r="O147" i="25"/>
  <c r="Q147" i="25" s="1"/>
  <c r="E147" i="25" s="1"/>
  <c r="R147" i="25"/>
  <c r="T146" i="25"/>
  <c r="S146" i="25"/>
  <c r="P146" i="25"/>
  <c r="O146" i="25"/>
  <c r="B77" i="25"/>
  <c r="C77" i="25"/>
  <c r="D77" i="25"/>
  <c r="O77" i="25"/>
  <c r="P77" i="25"/>
  <c r="S77" i="25"/>
  <c r="T77" i="25"/>
  <c r="R77" i="25" s="1"/>
  <c r="B78" i="25"/>
  <c r="C78" i="25"/>
  <c r="D78" i="25"/>
  <c r="O78" i="25"/>
  <c r="P78" i="25"/>
  <c r="S78" i="25"/>
  <c r="T78" i="25"/>
  <c r="R78" i="25" s="1"/>
  <c r="B79" i="25"/>
  <c r="C79" i="25"/>
  <c r="D79" i="25"/>
  <c r="O79" i="25"/>
  <c r="P79" i="25"/>
  <c r="S79" i="25"/>
  <c r="T79" i="25"/>
  <c r="R79" i="25" s="1"/>
  <c r="B80" i="25"/>
  <c r="C80" i="25"/>
  <c r="D80" i="25"/>
  <c r="O80" i="25"/>
  <c r="P80" i="25"/>
  <c r="S80" i="25"/>
  <c r="T80" i="25"/>
  <c r="R80" i="25" s="1"/>
  <c r="B81" i="25"/>
  <c r="C81" i="25"/>
  <c r="D81" i="25"/>
  <c r="O81" i="25"/>
  <c r="P81" i="25"/>
  <c r="S81" i="25"/>
  <c r="T81" i="25"/>
  <c r="R81" i="25" s="1"/>
  <c r="B82" i="25"/>
  <c r="C82" i="25"/>
  <c r="D82" i="25"/>
  <c r="O82" i="25"/>
  <c r="P82" i="25"/>
  <c r="S82" i="25"/>
  <c r="T82" i="25"/>
  <c r="R82" i="25" s="1"/>
  <c r="B83" i="25"/>
  <c r="C83" i="25"/>
  <c r="D83" i="25"/>
  <c r="O83" i="25"/>
  <c r="P83" i="25"/>
  <c r="S83" i="25"/>
  <c r="T83" i="25"/>
  <c r="R83" i="25" s="1"/>
  <c r="B84" i="25"/>
  <c r="C84" i="25"/>
  <c r="D84" i="25"/>
  <c r="O84" i="25"/>
  <c r="P84" i="25"/>
  <c r="S84" i="25"/>
  <c r="T84" i="25"/>
  <c r="R84" i="25" s="1"/>
  <c r="B85" i="25"/>
  <c r="C85" i="25"/>
  <c r="D85" i="25"/>
  <c r="O85" i="25"/>
  <c r="P85" i="25"/>
  <c r="S85" i="25"/>
  <c r="T85" i="25"/>
  <c r="R85" i="25" s="1"/>
  <c r="B76" i="25"/>
  <c r="C76" i="25"/>
  <c r="D76" i="25"/>
  <c r="O76" i="25"/>
  <c r="P76" i="25"/>
  <c r="S76" i="25"/>
  <c r="T76" i="25"/>
  <c r="D141" i="25"/>
  <c r="C141" i="25"/>
  <c r="B141" i="25"/>
  <c r="D140" i="25"/>
  <c r="C140" i="25"/>
  <c r="B140" i="25"/>
  <c r="D139" i="25"/>
  <c r="C139" i="25"/>
  <c r="B139" i="25"/>
  <c r="D138" i="25"/>
  <c r="C138" i="25"/>
  <c r="B138" i="25"/>
  <c r="D137" i="25"/>
  <c r="C137" i="25"/>
  <c r="B137" i="25"/>
  <c r="D136" i="25"/>
  <c r="C136" i="25"/>
  <c r="B136" i="25"/>
  <c r="D135" i="25"/>
  <c r="C135" i="25"/>
  <c r="B135" i="25"/>
  <c r="D134" i="25"/>
  <c r="C134" i="25"/>
  <c r="B134" i="25"/>
  <c r="D133" i="25"/>
  <c r="C133" i="25"/>
  <c r="B133" i="25"/>
  <c r="D132" i="25"/>
  <c r="C132" i="25"/>
  <c r="B132" i="25"/>
  <c r="K130" i="25"/>
  <c r="I130" i="25"/>
  <c r="C130" i="25"/>
  <c r="D127" i="25"/>
  <c r="C127" i="25"/>
  <c r="B127" i="25"/>
  <c r="D126" i="25"/>
  <c r="C126" i="25"/>
  <c r="B126" i="25"/>
  <c r="D125" i="25"/>
  <c r="C125" i="25"/>
  <c r="B125" i="25"/>
  <c r="D124" i="25"/>
  <c r="C124" i="25"/>
  <c r="B124" i="25"/>
  <c r="D123" i="25"/>
  <c r="C123" i="25"/>
  <c r="B123" i="25"/>
  <c r="D122" i="25"/>
  <c r="C122" i="25"/>
  <c r="B122" i="25"/>
  <c r="D121" i="25"/>
  <c r="C121" i="25"/>
  <c r="B121" i="25"/>
  <c r="D120" i="25"/>
  <c r="C120" i="25"/>
  <c r="B120" i="25"/>
  <c r="D119" i="25"/>
  <c r="C119" i="25"/>
  <c r="B119" i="25"/>
  <c r="D118" i="25"/>
  <c r="C118" i="25"/>
  <c r="B118" i="25"/>
  <c r="K116" i="25"/>
  <c r="I116" i="25"/>
  <c r="C116" i="25"/>
  <c r="D113" i="25"/>
  <c r="C113" i="25"/>
  <c r="B113" i="25"/>
  <c r="D112" i="25"/>
  <c r="C112" i="25"/>
  <c r="B112" i="25"/>
  <c r="D111" i="25"/>
  <c r="C111" i="25"/>
  <c r="B111" i="25"/>
  <c r="D110" i="25"/>
  <c r="C110" i="25"/>
  <c r="B110" i="25"/>
  <c r="D109" i="25"/>
  <c r="C109" i="25"/>
  <c r="B109" i="25"/>
  <c r="D108" i="25"/>
  <c r="C108" i="25"/>
  <c r="B108" i="25"/>
  <c r="D107" i="25"/>
  <c r="C107" i="25"/>
  <c r="B107" i="25"/>
  <c r="D106" i="25"/>
  <c r="C106" i="25"/>
  <c r="B106" i="25"/>
  <c r="D105" i="25"/>
  <c r="C105" i="25"/>
  <c r="B105" i="25"/>
  <c r="D104" i="25"/>
  <c r="C104" i="25"/>
  <c r="B104" i="25"/>
  <c r="K102" i="25"/>
  <c r="I102" i="25"/>
  <c r="C102" i="25"/>
  <c r="D99" i="25"/>
  <c r="C99" i="25"/>
  <c r="B99" i="25"/>
  <c r="D98" i="25"/>
  <c r="C98" i="25"/>
  <c r="B98" i="25"/>
  <c r="D97" i="25"/>
  <c r="C97" i="25"/>
  <c r="B97" i="25"/>
  <c r="D96" i="25"/>
  <c r="C96" i="25"/>
  <c r="B96" i="25"/>
  <c r="D95" i="25"/>
  <c r="C95" i="25"/>
  <c r="B95" i="25"/>
  <c r="D94" i="25"/>
  <c r="C94" i="25"/>
  <c r="B94" i="25"/>
  <c r="D93" i="25"/>
  <c r="C93" i="25"/>
  <c r="B93" i="25"/>
  <c r="D92" i="25"/>
  <c r="C92" i="25"/>
  <c r="B92" i="25"/>
  <c r="D91" i="25"/>
  <c r="C91" i="25"/>
  <c r="B91" i="25"/>
  <c r="D90" i="25"/>
  <c r="C90" i="25"/>
  <c r="B90" i="25"/>
  <c r="K88" i="25"/>
  <c r="I88" i="25"/>
  <c r="C88" i="25"/>
  <c r="K74" i="25"/>
  <c r="I74" i="25"/>
  <c r="C74" i="25"/>
  <c r="D71" i="25"/>
  <c r="C71" i="25"/>
  <c r="B71" i="25"/>
  <c r="D70" i="25"/>
  <c r="C70" i="25"/>
  <c r="B70" i="25"/>
  <c r="D69" i="25"/>
  <c r="C69" i="25"/>
  <c r="B69" i="25"/>
  <c r="D68" i="25"/>
  <c r="C68" i="25"/>
  <c r="B68" i="25"/>
  <c r="D67" i="25"/>
  <c r="C67" i="25"/>
  <c r="B67" i="25"/>
  <c r="D66" i="25"/>
  <c r="C66" i="25"/>
  <c r="B66" i="25"/>
  <c r="D65" i="25"/>
  <c r="C65" i="25"/>
  <c r="B65" i="25"/>
  <c r="D64" i="25"/>
  <c r="C64" i="25"/>
  <c r="B64" i="25"/>
  <c r="D63" i="25"/>
  <c r="C63" i="25"/>
  <c r="B63" i="25"/>
  <c r="D62" i="25"/>
  <c r="C62" i="25"/>
  <c r="B62" i="25"/>
  <c r="K60" i="25"/>
  <c r="I60" i="25"/>
  <c r="C60" i="25"/>
  <c r="D57" i="25"/>
  <c r="C57" i="25"/>
  <c r="B57" i="25"/>
  <c r="D56" i="25"/>
  <c r="C56" i="25"/>
  <c r="B56" i="25"/>
  <c r="D55" i="25"/>
  <c r="C55" i="25"/>
  <c r="B55" i="25"/>
  <c r="D54" i="25"/>
  <c r="C54" i="25"/>
  <c r="B54" i="25"/>
  <c r="D53" i="25"/>
  <c r="C53" i="25"/>
  <c r="B53" i="25"/>
  <c r="D52" i="25"/>
  <c r="C52" i="25"/>
  <c r="B52" i="25"/>
  <c r="D51" i="25"/>
  <c r="C51" i="25"/>
  <c r="B51" i="25"/>
  <c r="D50" i="25"/>
  <c r="C50" i="25"/>
  <c r="B50" i="25"/>
  <c r="D49" i="25"/>
  <c r="C49" i="25"/>
  <c r="B49" i="25"/>
  <c r="D48" i="25"/>
  <c r="C48" i="25"/>
  <c r="K46" i="25"/>
  <c r="I46" i="25"/>
  <c r="C46" i="25"/>
  <c r="T141" i="25"/>
  <c r="R141" i="25" s="1"/>
  <c r="S141" i="25"/>
  <c r="P141" i="25"/>
  <c r="O141" i="25"/>
  <c r="T140" i="25"/>
  <c r="S140" i="25"/>
  <c r="P140" i="25"/>
  <c r="O140" i="25"/>
  <c r="T139" i="25"/>
  <c r="S139" i="25"/>
  <c r="P139" i="25"/>
  <c r="O139" i="25"/>
  <c r="T138" i="25"/>
  <c r="S138" i="25"/>
  <c r="P138" i="25"/>
  <c r="O138" i="25"/>
  <c r="T137" i="25"/>
  <c r="R137" i="25" s="1"/>
  <c r="S137" i="25"/>
  <c r="P137" i="25"/>
  <c r="O137" i="25"/>
  <c r="T136" i="25"/>
  <c r="S136" i="25"/>
  <c r="P136" i="25"/>
  <c r="O136" i="25"/>
  <c r="T135" i="25"/>
  <c r="S135" i="25"/>
  <c r="P135" i="25"/>
  <c r="O135" i="25"/>
  <c r="T134" i="25"/>
  <c r="S134" i="25"/>
  <c r="P134" i="25"/>
  <c r="O134" i="25"/>
  <c r="T133" i="25"/>
  <c r="R133" i="25" s="1"/>
  <c r="S133" i="25"/>
  <c r="P133" i="25"/>
  <c r="O133" i="25"/>
  <c r="T132" i="25"/>
  <c r="S132" i="25"/>
  <c r="P132" i="25"/>
  <c r="O132" i="25"/>
  <c r="T127" i="25"/>
  <c r="S127" i="25"/>
  <c r="P127" i="25"/>
  <c r="O127" i="25"/>
  <c r="T126" i="25"/>
  <c r="R126" i="25" s="1"/>
  <c r="S126" i="25"/>
  <c r="P126" i="25"/>
  <c r="O126" i="25"/>
  <c r="T125" i="25"/>
  <c r="S125" i="25"/>
  <c r="P125" i="25"/>
  <c r="O125" i="25"/>
  <c r="T124" i="25"/>
  <c r="S124" i="25"/>
  <c r="P124" i="25"/>
  <c r="O124" i="25"/>
  <c r="T123" i="25"/>
  <c r="S123" i="25"/>
  <c r="P123" i="25"/>
  <c r="O123" i="25"/>
  <c r="T122" i="25"/>
  <c r="R122" i="25" s="1"/>
  <c r="S122" i="25"/>
  <c r="P122" i="25"/>
  <c r="O122" i="25"/>
  <c r="T121" i="25"/>
  <c r="S121" i="25"/>
  <c r="P121" i="25"/>
  <c r="O121" i="25"/>
  <c r="T120" i="25"/>
  <c r="S120" i="25"/>
  <c r="P120" i="25"/>
  <c r="O120" i="25"/>
  <c r="T119" i="25"/>
  <c r="S119" i="25"/>
  <c r="P119" i="25"/>
  <c r="O119" i="25"/>
  <c r="T118" i="25"/>
  <c r="S118" i="25"/>
  <c r="P118" i="25"/>
  <c r="O118" i="25"/>
  <c r="T113" i="25"/>
  <c r="S113" i="25"/>
  <c r="P113" i="25"/>
  <c r="O113" i="25"/>
  <c r="T112" i="25"/>
  <c r="S112" i="25"/>
  <c r="P112" i="25"/>
  <c r="O112" i="25"/>
  <c r="T111" i="25"/>
  <c r="R111" i="25" s="1"/>
  <c r="S111" i="25"/>
  <c r="P111" i="25"/>
  <c r="O111" i="25"/>
  <c r="T110" i="25"/>
  <c r="S110" i="25"/>
  <c r="P110" i="25"/>
  <c r="O110" i="25"/>
  <c r="T109" i="25"/>
  <c r="S109" i="25"/>
  <c r="P109" i="25"/>
  <c r="O109" i="25"/>
  <c r="T108" i="25"/>
  <c r="S108" i="25"/>
  <c r="P108" i="25"/>
  <c r="O108" i="25"/>
  <c r="T107" i="25"/>
  <c r="R107" i="25" s="1"/>
  <c r="S107" i="25"/>
  <c r="P107" i="25"/>
  <c r="O107" i="25"/>
  <c r="T106" i="25"/>
  <c r="S106" i="25"/>
  <c r="P106" i="25"/>
  <c r="O106" i="25"/>
  <c r="T105" i="25"/>
  <c r="S105" i="25"/>
  <c r="P105" i="25"/>
  <c r="O105" i="25"/>
  <c r="T104" i="25"/>
  <c r="S104" i="25"/>
  <c r="P104" i="25"/>
  <c r="O104" i="25"/>
  <c r="T99" i="25"/>
  <c r="S99" i="25"/>
  <c r="P99" i="25"/>
  <c r="O99" i="25"/>
  <c r="T98" i="25"/>
  <c r="S98" i="25"/>
  <c r="P98" i="25"/>
  <c r="O98" i="25"/>
  <c r="T97" i="25"/>
  <c r="S97" i="25"/>
  <c r="P97" i="25"/>
  <c r="O97" i="25"/>
  <c r="T96" i="25"/>
  <c r="R96" i="25" s="1"/>
  <c r="S96" i="25"/>
  <c r="P96" i="25"/>
  <c r="O96" i="25"/>
  <c r="T95" i="25"/>
  <c r="S95" i="25"/>
  <c r="P95" i="25"/>
  <c r="O95" i="25"/>
  <c r="T94" i="25"/>
  <c r="S94" i="25"/>
  <c r="P94" i="25"/>
  <c r="O94" i="25"/>
  <c r="T93" i="25"/>
  <c r="S93" i="25"/>
  <c r="P93" i="25"/>
  <c r="O93" i="25"/>
  <c r="T92" i="25"/>
  <c r="R92" i="25" s="1"/>
  <c r="S92" i="25"/>
  <c r="P92" i="25"/>
  <c r="O92" i="25"/>
  <c r="T91" i="25"/>
  <c r="S91" i="25"/>
  <c r="P91" i="25"/>
  <c r="O91" i="25"/>
  <c r="T90" i="25"/>
  <c r="S90" i="25"/>
  <c r="P90" i="25"/>
  <c r="O90" i="25"/>
  <c r="T71" i="25"/>
  <c r="S71" i="25"/>
  <c r="P71" i="25"/>
  <c r="O71" i="25"/>
  <c r="T70" i="25"/>
  <c r="R70" i="25" s="1"/>
  <c r="S70" i="25"/>
  <c r="P70" i="25"/>
  <c r="O70" i="25"/>
  <c r="T69" i="25"/>
  <c r="S69" i="25"/>
  <c r="P69" i="25"/>
  <c r="O69" i="25"/>
  <c r="T68" i="25"/>
  <c r="S68" i="25"/>
  <c r="P68" i="25"/>
  <c r="O68" i="25"/>
  <c r="T67" i="25"/>
  <c r="S67" i="25"/>
  <c r="P67" i="25"/>
  <c r="O67" i="25"/>
  <c r="T66" i="25"/>
  <c r="R66" i="25" s="1"/>
  <c r="S66" i="25"/>
  <c r="P66" i="25"/>
  <c r="O66" i="25"/>
  <c r="T65" i="25"/>
  <c r="S65" i="25"/>
  <c r="P65" i="25"/>
  <c r="O65" i="25"/>
  <c r="T64" i="25"/>
  <c r="S64" i="25"/>
  <c r="P64" i="25"/>
  <c r="O64" i="25"/>
  <c r="T63" i="25"/>
  <c r="S63" i="25"/>
  <c r="P63" i="25"/>
  <c r="O63" i="25"/>
  <c r="T62" i="25"/>
  <c r="S62" i="25"/>
  <c r="P62" i="25"/>
  <c r="O62" i="25"/>
  <c r="T57" i="25"/>
  <c r="S57" i="25"/>
  <c r="P57" i="25"/>
  <c r="O57" i="25"/>
  <c r="T56" i="25"/>
  <c r="S56" i="25"/>
  <c r="P56" i="25"/>
  <c r="O56" i="25"/>
  <c r="T55" i="25"/>
  <c r="R55" i="25" s="1"/>
  <c r="S55" i="25"/>
  <c r="P55" i="25"/>
  <c r="O55" i="25"/>
  <c r="T54" i="25"/>
  <c r="S54" i="25"/>
  <c r="P54" i="25"/>
  <c r="O54" i="25"/>
  <c r="T53" i="25"/>
  <c r="S53" i="25"/>
  <c r="P53" i="25"/>
  <c r="O53" i="25"/>
  <c r="T52" i="25"/>
  <c r="S52" i="25"/>
  <c r="P52" i="25"/>
  <c r="O52" i="25"/>
  <c r="T51" i="25"/>
  <c r="R51" i="25" s="1"/>
  <c r="S51" i="25"/>
  <c r="P51" i="25"/>
  <c r="O51" i="25"/>
  <c r="T50" i="25"/>
  <c r="S50" i="25"/>
  <c r="P50" i="25"/>
  <c r="O50" i="25"/>
  <c r="T49" i="25"/>
  <c r="S49" i="25"/>
  <c r="P49" i="25"/>
  <c r="O49" i="25"/>
  <c r="T48" i="25"/>
  <c r="S48" i="25"/>
  <c r="P48" i="25"/>
  <c r="O48" i="25"/>
  <c r="D43" i="25"/>
  <c r="C43" i="25"/>
  <c r="B43" i="25"/>
  <c r="D42" i="25"/>
  <c r="C42" i="25"/>
  <c r="B42" i="25"/>
  <c r="D41" i="25"/>
  <c r="C41" i="25"/>
  <c r="B41" i="25"/>
  <c r="D40" i="25"/>
  <c r="C40" i="25"/>
  <c r="B40" i="25"/>
  <c r="D39" i="25"/>
  <c r="C39" i="25"/>
  <c r="B39" i="25"/>
  <c r="D38" i="25"/>
  <c r="C38" i="25"/>
  <c r="B38" i="25"/>
  <c r="D37" i="25"/>
  <c r="C37" i="25"/>
  <c r="B37" i="25"/>
  <c r="D36" i="25"/>
  <c r="C36" i="25"/>
  <c r="B36" i="25"/>
  <c r="D35" i="25"/>
  <c r="C35" i="25"/>
  <c r="B35" i="25"/>
  <c r="D34" i="25"/>
  <c r="C34" i="25"/>
  <c r="B34" i="25"/>
  <c r="K32" i="25"/>
  <c r="I32" i="25"/>
  <c r="C32" i="25"/>
  <c r="T43" i="25"/>
  <c r="S43" i="25"/>
  <c r="P43" i="25"/>
  <c r="O43" i="25"/>
  <c r="T42" i="25"/>
  <c r="S42" i="25"/>
  <c r="P42" i="25"/>
  <c r="O42" i="25"/>
  <c r="T41" i="25"/>
  <c r="S41" i="25"/>
  <c r="P41" i="25"/>
  <c r="O41" i="25"/>
  <c r="T40" i="25"/>
  <c r="S40" i="25"/>
  <c r="P40" i="25"/>
  <c r="O40" i="25"/>
  <c r="T39" i="25"/>
  <c r="S39" i="25"/>
  <c r="P39" i="25"/>
  <c r="O39" i="25"/>
  <c r="T38" i="25"/>
  <c r="S38" i="25"/>
  <c r="P38" i="25"/>
  <c r="O38" i="25"/>
  <c r="T37" i="25"/>
  <c r="S37" i="25"/>
  <c r="P37" i="25"/>
  <c r="O37" i="25"/>
  <c r="T36" i="25"/>
  <c r="S36" i="25"/>
  <c r="P36" i="25"/>
  <c r="O36" i="25"/>
  <c r="T35" i="25"/>
  <c r="S35" i="25"/>
  <c r="P35" i="25"/>
  <c r="O35" i="25"/>
  <c r="T34" i="25"/>
  <c r="S34" i="25"/>
  <c r="P34" i="25"/>
  <c r="O34" i="25"/>
  <c r="D29" i="25"/>
  <c r="C29" i="25"/>
  <c r="B29" i="25"/>
  <c r="D28" i="25"/>
  <c r="C28" i="25"/>
  <c r="B28" i="25"/>
  <c r="D27" i="25"/>
  <c r="C27" i="25"/>
  <c r="B27" i="25"/>
  <c r="D26" i="25"/>
  <c r="C26" i="25"/>
  <c r="B26" i="25"/>
  <c r="D25" i="25"/>
  <c r="C25" i="25"/>
  <c r="B25" i="25"/>
  <c r="D24" i="25"/>
  <c r="C24" i="25"/>
  <c r="B24" i="25"/>
  <c r="D23" i="25"/>
  <c r="C23" i="25"/>
  <c r="B23" i="25"/>
  <c r="D22" i="25"/>
  <c r="C22" i="25"/>
  <c r="B22" i="25"/>
  <c r="D21" i="25"/>
  <c r="C21" i="25"/>
  <c r="B21" i="25"/>
  <c r="D20" i="25"/>
  <c r="C20" i="25"/>
  <c r="B20" i="25"/>
  <c r="K18" i="25"/>
  <c r="I18" i="25"/>
  <c r="C18" i="25"/>
  <c r="T29" i="25"/>
  <c r="S29" i="25"/>
  <c r="P29" i="25"/>
  <c r="O29" i="25"/>
  <c r="T28" i="25"/>
  <c r="S28" i="25"/>
  <c r="P28" i="25"/>
  <c r="O28" i="25"/>
  <c r="T27" i="25"/>
  <c r="S27" i="25"/>
  <c r="P27" i="25"/>
  <c r="O27" i="25"/>
  <c r="T26" i="25"/>
  <c r="S26" i="25"/>
  <c r="P26" i="25"/>
  <c r="O26" i="25"/>
  <c r="T25" i="25"/>
  <c r="S25" i="25"/>
  <c r="P25" i="25"/>
  <c r="O25" i="25"/>
  <c r="T24" i="25"/>
  <c r="S24" i="25"/>
  <c r="P24" i="25"/>
  <c r="O24" i="25"/>
  <c r="T23" i="25"/>
  <c r="S23" i="25"/>
  <c r="P23" i="25"/>
  <c r="O23" i="25"/>
  <c r="T22" i="25"/>
  <c r="S22" i="25"/>
  <c r="P22" i="25"/>
  <c r="O22" i="25"/>
  <c r="T21" i="25"/>
  <c r="S21" i="25"/>
  <c r="P21" i="25"/>
  <c r="O21" i="25"/>
  <c r="T20" i="25"/>
  <c r="S20" i="25"/>
  <c r="P20" i="25"/>
  <c r="O20" i="25"/>
  <c r="K4" i="25"/>
  <c r="I4" i="25"/>
  <c r="C15" i="25"/>
  <c r="C14" i="25"/>
  <c r="C13" i="25"/>
  <c r="C12" i="25"/>
  <c r="C11" i="25"/>
  <c r="C10" i="25"/>
  <c r="C9" i="25"/>
  <c r="C8" i="25"/>
  <c r="D15" i="25"/>
  <c r="D14" i="25"/>
  <c r="D13" i="25"/>
  <c r="D12" i="25"/>
  <c r="D11" i="25"/>
  <c r="D10" i="25"/>
  <c r="D9" i="25"/>
  <c r="D8" i="25"/>
  <c r="D7" i="25"/>
  <c r="C7" i="25"/>
  <c r="D6" i="25"/>
  <c r="C6" i="25"/>
  <c r="B15" i="25"/>
  <c r="B14" i="25"/>
  <c r="B13" i="25"/>
  <c r="B12" i="25"/>
  <c r="B11" i="25"/>
  <c r="B10" i="25"/>
  <c r="B9" i="25"/>
  <c r="B8" i="25"/>
  <c r="B7" i="25"/>
  <c r="B6" i="25"/>
  <c r="A3" i="27"/>
  <c r="A4" i="27" s="1"/>
  <c r="A5" i="27" s="1"/>
  <c r="A6" i="27" s="1"/>
  <c r="A7" i="27" s="1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A35" i="27" s="1"/>
  <c r="A36" i="27" s="1"/>
  <c r="A37" i="27" s="1"/>
  <c r="A38" i="27" s="1"/>
  <c r="A39" i="27" s="1"/>
  <c r="A40" i="27" s="1"/>
  <c r="A41" i="27" s="1"/>
  <c r="C4" i="25"/>
  <c r="S6" i="25"/>
  <c r="T6" i="25"/>
  <c r="S7" i="25"/>
  <c r="T7" i="25"/>
  <c r="S8" i="25"/>
  <c r="T8" i="25"/>
  <c r="S9" i="25"/>
  <c r="T9" i="25"/>
  <c r="S10" i="25"/>
  <c r="T10" i="25"/>
  <c r="S11" i="25"/>
  <c r="T11" i="25"/>
  <c r="S12" i="25"/>
  <c r="T12" i="25"/>
  <c r="S13" i="25"/>
  <c r="T13" i="25"/>
  <c r="S14" i="25"/>
  <c r="R14" i="25" s="1"/>
  <c r="T14" i="25"/>
  <c r="S15" i="25"/>
  <c r="T15" i="25"/>
  <c r="EA22" i="5"/>
  <c r="DZ22" i="5"/>
  <c r="DY22" i="5"/>
  <c r="DP22" i="5"/>
  <c r="DO22" i="5"/>
  <c r="DN22" i="5"/>
  <c r="DE22" i="5"/>
  <c r="DD22" i="5"/>
  <c r="DC22" i="5"/>
  <c r="CT22" i="5"/>
  <c r="CS22" i="5"/>
  <c r="CR22" i="5"/>
  <c r="CI22" i="5"/>
  <c r="CH22" i="5"/>
  <c r="CG22" i="5"/>
  <c r="BX22" i="5"/>
  <c r="BW22" i="5"/>
  <c r="BV22" i="5"/>
  <c r="BM22" i="5"/>
  <c r="BL22" i="5"/>
  <c r="BK22" i="5"/>
  <c r="BB22" i="5"/>
  <c r="BA22" i="5"/>
  <c r="AZ22" i="5"/>
  <c r="AQ22" i="5"/>
  <c r="AP22" i="5"/>
  <c r="AO22" i="5"/>
  <c r="AF22" i="5"/>
  <c r="AE22" i="5"/>
  <c r="AD22" i="5"/>
  <c r="AB22" i="5"/>
  <c r="Z22" i="5"/>
  <c r="T22" i="5"/>
  <c r="R22" i="5"/>
  <c r="P22" i="5"/>
  <c r="O22" i="5"/>
  <c r="N22" i="5"/>
  <c r="K22" i="5"/>
  <c r="J22" i="5"/>
  <c r="I22" i="5"/>
  <c r="H22" i="5"/>
  <c r="G22" i="5"/>
  <c r="F22" i="5"/>
  <c r="E22" i="5"/>
  <c r="D22" i="5"/>
  <c r="C22" i="5"/>
  <c r="B22" i="5"/>
  <c r="EA21" i="5"/>
  <c r="DZ21" i="5"/>
  <c r="DY21" i="5"/>
  <c r="DP21" i="5"/>
  <c r="DO21" i="5"/>
  <c r="DN21" i="5"/>
  <c r="DE21" i="5"/>
  <c r="DD21" i="5"/>
  <c r="DC21" i="5"/>
  <c r="CT21" i="5"/>
  <c r="CS21" i="5"/>
  <c r="CR21" i="5"/>
  <c r="CI21" i="5"/>
  <c r="CH21" i="5"/>
  <c r="CG21" i="5"/>
  <c r="BX21" i="5"/>
  <c r="BW21" i="5"/>
  <c r="BV21" i="5"/>
  <c r="BM21" i="5"/>
  <c r="BL21" i="5"/>
  <c r="BK21" i="5"/>
  <c r="BB21" i="5"/>
  <c r="BA21" i="5"/>
  <c r="AZ21" i="5"/>
  <c r="AQ21" i="5"/>
  <c r="AP21" i="5"/>
  <c r="AO21" i="5"/>
  <c r="AF21" i="5"/>
  <c r="AE21" i="5"/>
  <c r="AD21" i="5"/>
  <c r="AB21" i="5"/>
  <c r="Z21" i="5"/>
  <c r="T21" i="5"/>
  <c r="R21" i="5"/>
  <c r="P21" i="5"/>
  <c r="O21" i="5"/>
  <c r="N21" i="5"/>
  <c r="K21" i="5"/>
  <c r="J21" i="5"/>
  <c r="I21" i="5"/>
  <c r="H21" i="5"/>
  <c r="G21" i="5"/>
  <c r="F21" i="5"/>
  <c r="E21" i="5"/>
  <c r="D21" i="5"/>
  <c r="C21" i="5"/>
  <c r="B21" i="5"/>
  <c r="EA20" i="5"/>
  <c r="DZ20" i="5"/>
  <c r="DY20" i="5"/>
  <c r="DP20" i="5"/>
  <c r="DO20" i="5"/>
  <c r="DN20" i="5"/>
  <c r="DE20" i="5"/>
  <c r="DD20" i="5"/>
  <c r="DC20" i="5"/>
  <c r="CT20" i="5"/>
  <c r="CS20" i="5"/>
  <c r="CR20" i="5"/>
  <c r="CI20" i="5"/>
  <c r="CH20" i="5"/>
  <c r="CG20" i="5"/>
  <c r="BX20" i="5"/>
  <c r="BW20" i="5"/>
  <c r="BV20" i="5"/>
  <c r="BM20" i="5"/>
  <c r="BL20" i="5"/>
  <c r="BK20" i="5"/>
  <c r="BB20" i="5"/>
  <c r="BA20" i="5"/>
  <c r="AZ20" i="5"/>
  <c r="AQ20" i="5"/>
  <c r="AP20" i="5"/>
  <c r="AO20" i="5"/>
  <c r="AF20" i="5"/>
  <c r="AE20" i="5"/>
  <c r="AD20" i="5"/>
  <c r="AB20" i="5"/>
  <c r="Z20" i="5"/>
  <c r="T20" i="5"/>
  <c r="R20" i="5"/>
  <c r="P20" i="5"/>
  <c r="O20" i="5"/>
  <c r="N20" i="5"/>
  <c r="K20" i="5"/>
  <c r="J20" i="5"/>
  <c r="I20" i="5"/>
  <c r="H20" i="5"/>
  <c r="G20" i="5"/>
  <c r="F20" i="5"/>
  <c r="E20" i="5"/>
  <c r="D20" i="5"/>
  <c r="C20" i="5"/>
  <c r="B20" i="5"/>
  <c r="EA19" i="5"/>
  <c r="DZ19" i="5"/>
  <c r="DY19" i="5"/>
  <c r="DP19" i="5"/>
  <c r="DO19" i="5"/>
  <c r="DN19" i="5"/>
  <c r="DE19" i="5"/>
  <c r="DD19" i="5"/>
  <c r="DC19" i="5"/>
  <c r="CT19" i="5"/>
  <c r="CS19" i="5"/>
  <c r="CR19" i="5"/>
  <c r="CI19" i="5"/>
  <c r="CH19" i="5"/>
  <c r="CG19" i="5"/>
  <c r="BX19" i="5"/>
  <c r="BW19" i="5"/>
  <c r="BV19" i="5"/>
  <c r="BM19" i="5"/>
  <c r="BL19" i="5"/>
  <c r="BK19" i="5"/>
  <c r="BB19" i="5"/>
  <c r="BA19" i="5"/>
  <c r="AZ19" i="5"/>
  <c r="AQ19" i="5"/>
  <c r="AP19" i="5"/>
  <c r="AO19" i="5"/>
  <c r="AF19" i="5"/>
  <c r="AE19" i="5"/>
  <c r="AD19" i="5"/>
  <c r="AB19" i="5"/>
  <c r="Z19" i="5"/>
  <c r="T19" i="5"/>
  <c r="R19" i="5"/>
  <c r="P19" i="5"/>
  <c r="O19" i="5"/>
  <c r="N19" i="5"/>
  <c r="K19" i="5"/>
  <c r="J19" i="5"/>
  <c r="I19" i="5"/>
  <c r="H19" i="5"/>
  <c r="G19" i="5"/>
  <c r="F19" i="5"/>
  <c r="E19" i="5"/>
  <c r="D19" i="5"/>
  <c r="C19" i="5"/>
  <c r="B19" i="5"/>
  <c r="EA18" i="5"/>
  <c r="DZ18" i="5"/>
  <c r="DY18" i="5"/>
  <c r="DP18" i="5"/>
  <c r="DO18" i="5"/>
  <c r="DN18" i="5"/>
  <c r="DE18" i="5"/>
  <c r="DD18" i="5"/>
  <c r="DC18" i="5"/>
  <c r="CT18" i="5"/>
  <c r="CS18" i="5"/>
  <c r="CR18" i="5"/>
  <c r="CI18" i="5"/>
  <c r="CH18" i="5"/>
  <c r="CG18" i="5"/>
  <c r="BX18" i="5"/>
  <c r="BW18" i="5"/>
  <c r="BV18" i="5"/>
  <c r="BM18" i="5"/>
  <c r="BL18" i="5"/>
  <c r="BK18" i="5"/>
  <c r="BB18" i="5"/>
  <c r="BA18" i="5"/>
  <c r="AZ18" i="5"/>
  <c r="AQ18" i="5"/>
  <c r="AP18" i="5"/>
  <c r="AO18" i="5"/>
  <c r="AF18" i="5"/>
  <c r="AE18" i="5"/>
  <c r="AD18" i="5"/>
  <c r="AB18" i="5"/>
  <c r="Z18" i="5"/>
  <c r="T18" i="5"/>
  <c r="R18" i="5"/>
  <c r="P18" i="5"/>
  <c r="O18" i="5"/>
  <c r="N18" i="5"/>
  <c r="K18" i="5"/>
  <c r="J18" i="5"/>
  <c r="I18" i="5"/>
  <c r="H18" i="5"/>
  <c r="G18" i="5"/>
  <c r="F18" i="5"/>
  <c r="E18" i="5"/>
  <c r="D18" i="5"/>
  <c r="C18" i="5"/>
  <c r="B18" i="5"/>
  <c r="EA17" i="5"/>
  <c r="DZ17" i="5"/>
  <c r="DY17" i="5"/>
  <c r="DP17" i="5"/>
  <c r="DO17" i="5"/>
  <c r="DN17" i="5"/>
  <c r="DE17" i="5"/>
  <c r="DD17" i="5"/>
  <c r="DC17" i="5"/>
  <c r="CT17" i="5"/>
  <c r="CS17" i="5"/>
  <c r="CR17" i="5"/>
  <c r="CI17" i="5"/>
  <c r="CH17" i="5"/>
  <c r="CG17" i="5"/>
  <c r="BX17" i="5"/>
  <c r="BW17" i="5"/>
  <c r="BV17" i="5"/>
  <c r="BM17" i="5"/>
  <c r="BL17" i="5"/>
  <c r="BK17" i="5"/>
  <c r="BB17" i="5"/>
  <c r="BA17" i="5"/>
  <c r="AZ17" i="5"/>
  <c r="AQ17" i="5"/>
  <c r="AP17" i="5"/>
  <c r="AO17" i="5"/>
  <c r="AF17" i="5"/>
  <c r="AE17" i="5"/>
  <c r="AD17" i="5"/>
  <c r="AB17" i="5"/>
  <c r="Z17" i="5"/>
  <c r="T17" i="5"/>
  <c r="R17" i="5"/>
  <c r="P17" i="5"/>
  <c r="O17" i="5"/>
  <c r="N17" i="5"/>
  <c r="K17" i="5"/>
  <c r="J17" i="5"/>
  <c r="I17" i="5"/>
  <c r="H17" i="5"/>
  <c r="G17" i="5"/>
  <c r="F17" i="5"/>
  <c r="E17" i="5"/>
  <c r="D17" i="5"/>
  <c r="C17" i="5"/>
  <c r="B17" i="5"/>
  <c r="EA16" i="5"/>
  <c r="DZ16" i="5"/>
  <c r="DY16" i="5"/>
  <c r="DP16" i="5"/>
  <c r="DO16" i="5"/>
  <c r="DN16" i="5"/>
  <c r="DE16" i="5"/>
  <c r="DD16" i="5"/>
  <c r="DC16" i="5"/>
  <c r="CT16" i="5"/>
  <c r="CS16" i="5"/>
  <c r="CR16" i="5"/>
  <c r="CI16" i="5"/>
  <c r="CH16" i="5"/>
  <c r="CG16" i="5"/>
  <c r="BX16" i="5"/>
  <c r="BW16" i="5"/>
  <c r="BV16" i="5"/>
  <c r="BM16" i="5"/>
  <c r="BL16" i="5"/>
  <c r="BK16" i="5"/>
  <c r="BB16" i="5"/>
  <c r="BA16" i="5"/>
  <c r="AZ16" i="5"/>
  <c r="AQ16" i="5"/>
  <c r="AP16" i="5"/>
  <c r="AO16" i="5"/>
  <c r="AF16" i="5"/>
  <c r="AE16" i="5"/>
  <c r="AD16" i="5"/>
  <c r="AB16" i="5"/>
  <c r="Z16" i="5"/>
  <c r="T16" i="5"/>
  <c r="R16" i="5"/>
  <c r="P16" i="5"/>
  <c r="O16" i="5"/>
  <c r="N16" i="5"/>
  <c r="K16" i="5"/>
  <c r="J16" i="5"/>
  <c r="I16" i="5"/>
  <c r="H16" i="5"/>
  <c r="G16" i="5"/>
  <c r="F16" i="5"/>
  <c r="E16" i="5"/>
  <c r="D16" i="5"/>
  <c r="C16" i="5"/>
  <c r="B16" i="5"/>
  <c r="EA15" i="5"/>
  <c r="DZ15" i="5"/>
  <c r="DY15" i="5"/>
  <c r="DP15" i="5"/>
  <c r="DO15" i="5"/>
  <c r="DN15" i="5"/>
  <c r="DE15" i="5"/>
  <c r="DD15" i="5"/>
  <c r="DC15" i="5"/>
  <c r="CT15" i="5"/>
  <c r="CS15" i="5"/>
  <c r="CR15" i="5"/>
  <c r="CI15" i="5"/>
  <c r="CH15" i="5"/>
  <c r="CG15" i="5"/>
  <c r="BX15" i="5"/>
  <c r="BW15" i="5"/>
  <c r="BV15" i="5"/>
  <c r="BM15" i="5"/>
  <c r="BL15" i="5"/>
  <c r="BK15" i="5"/>
  <c r="BB15" i="5"/>
  <c r="BA15" i="5"/>
  <c r="AZ15" i="5"/>
  <c r="AQ15" i="5"/>
  <c r="AP15" i="5"/>
  <c r="AO15" i="5"/>
  <c r="AF15" i="5"/>
  <c r="AE15" i="5"/>
  <c r="AD15" i="5"/>
  <c r="AB15" i="5"/>
  <c r="Z15" i="5"/>
  <c r="T15" i="5"/>
  <c r="R15" i="5"/>
  <c r="G17" i="28" s="1"/>
  <c r="P15" i="5"/>
  <c r="O15" i="5"/>
  <c r="N15" i="5"/>
  <c r="K15" i="5"/>
  <c r="J15" i="5"/>
  <c r="I15" i="5"/>
  <c r="H15" i="5"/>
  <c r="G15" i="5"/>
  <c r="F15" i="5"/>
  <c r="E15" i="5"/>
  <c r="D15" i="5"/>
  <c r="C15" i="5"/>
  <c r="B15" i="5"/>
  <c r="EA14" i="5"/>
  <c r="DZ14" i="5"/>
  <c r="DY14" i="5"/>
  <c r="DP14" i="5"/>
  <c r="DO14" i="5"/>
  <c r="DN14" i="5"/>
  <c r="DE14" i="5"/>
  <c r="DD14" i="5"/>
  <c r="DC14" i="5"/>
  <c r="CT14" i="5"/>
  <c r="CS14" i="5"/>
  <c r="CR14" i="5"/>
  <c r="CI14" i="5"/>
  <c r="CH14" i="5"/>
  <c r="CG14" i="5"/>
  <c r="BX14" i="5"/>
  <c r="BW14" i="5"/>
  <c r="BV14" i="5"/>
  <c r="BM14" i="5"/>
  <c r="BL14" i="5"/>
  <c r="BK14" i="5"/>
  <c r="BB14" i="5"/>
  <c r="BA14" i="5"/>
  <c r="AZ14" i="5"/>
  <c r="AQ14" i="5"/>
  <c r="AP14" i="5"/>
  <c r="AO14" i="5"/>
  <c r="AF14" i="5"/>
  <c r="AE14" i="5"/>
  <c r="AD14" i="5"/>
  <c r="AB14" i="5"/>
  <c r="Z14" i="5"/>
  <c r="T14" i="5"/>
  <c r="R14" i="5"/>
  <c r="P14" i="5"/>
  <c r="O14" i="5"/>
  <c r="N14" i="5"/>
  <c r="K14" i="5"/>
  <c r="J14" i="5"/>
  <c r="I14" i="5"/>
  <c r="H14" i="5"/>
  <c r="G14" i="5"/>
  <c r="F14" i="5"/>
  <c r="E14" i="5"/>
  <c r="D14" i="5"/>
  <c r="C14" i="5"/>
  <c r="B14" i="5"/>
  <c r="EA13" i="5"/>
  <c r="DZ13" i="5"/>
  <c r="DY13" i="5"/>
  <c r="DP13" i="5"/>
  <c r="DO13" i="5"/>
  <c r="DN13" i="5"/>
  <c r="DE13" i="5"/>
  <c r="DD13" i="5"/>
  <c r="DC13" i="5"/>
  <c r="CT13" i="5"/>
  <c r="CS13" i="5"/>
  <c r="CR13" i="5"/>
  <c r="CI13" i="5"/>
  <c r="CH13" i="5"/>
  <c r="CG13" i="5"/>
  <c r="BX13" i="5"/>
  <c r="BW13" i="5"/>
  <c r="BV13" i="5"/>
  <c r="BM13" i="5"/>
  <c r="BL13" i="5"/>
  <c r="BK13" i="5"/>
  <c r="BB13" i="5"/>
  <c r="BA13" i="5"/>
  <c r="AZ13" i="5"/>
  <c r="AQ13" i="5"/>
  <c r="AP13" i="5"/>
  <c r="AO13" i="5"/>
  <c r="AF13" i="5"/>
  <c r="AE13" i="5"/>
  <c r="AD13" i="5"/>
  <c r="AB13" i="5"/>
  <c r="Z13" i="5"/>
  <c r="T13" i="5"/>
  <c r="R13" i="5"/>
  <c r="P13" i="5"/>
  <c r="O13" i="5"/>
  <c r="N13" i="5"/>
  <c r="K13" i="5"/>
  <c r="J13" i="5"/>
  <c r="I13" i="5"/>
  <c r="H13" i="5"/>
  <c r="G13" i="5"/>
  <c r="F13" i="5"/>
  <c r="E13" i="5"/>
  <c r="D13" i="5"/>
  <c r="C13" i="5"/>
  <c r="B13" i="5"/>
  <c r="EA12" i="5"/>
  <c r="DZ12" i="5"/>
  <c r="DY12" i="5"/>
  <c r="DP12" i="5"/>
  <c r="DO12" i="5"/>
  <c r="DN12" i="5"/>
  <c r="DE12" i="5"/>
  <c r="DD12" i="5"/>
  <c r="DC12" i="5"/>
  <c r="CT12" i="5"/>
  <c r="CS12" i="5"/>
  <c r="CR12" i="5"/>
  <c r="CI12" i="5"/>
  <c r="CH12" i="5"/>
  <c r="CG12" i="5"/>
  <c r="BX12" i="5"/>
  <c r="BW12" i="5"/>
  <c r="BV12" i="5"/>
  <c r="BM12" i="5"/>
  <c r="BL12" i="5"/>
  <c r="BK12" i="5"/>
  <c r="BB12" i="5"/>
  <c r="BA12" i="5"/>
  <c r="AZ12" i="5"/>
  <c r="AQ12" i="5"/>
  <c r="AP12" i="5"/>
  <c r="AO12" i="5"/>
  <c r="AF12" i="5"/>
  <c r="AE12" i="5"/>
  <c r="AD12" i="5"/>
  <c r="AB12" i="5"/>
  <c r="Z12" i="5"/>
  <c r="T12" i="5"/>
  <c r="R12" i="5"/>
  <c r="P12" i="5"/>
  <c r="O12" i="5"/>
  <c r="N12" i="5"/>
  <c r="K12" i="5"/>
  <c r="J12" i="5"/>
  <c r="I12" i="5"/>
  <c r="H12" i="5"/>
  <c r="G12" i="5"/>
  <c r="F12" i="5"/>
  <c r="E12" i="5"/>
  <c r="D12" i="5"/>
  <c r="C12" i="5"/>
  <c r="B12" i="5"/>
  <c r="EA11" i="5"/>
  <c r="DZ11" i="5"/>
  <c r="DY11" i="5"/>
  <c r="DP11" i="5"/>
  <c r="DO11" i="5"/>
  <c r="DN11" i="5"/>
  <c r="DE11" i="5"/>
  <c r="DD11" i="5"/>
  <c r="DC11" i="5"/>
  <c r="CT11" i="5"/>
  <c r="CS11" i="5"/>
  <c r="CR11" i="5"/>
  <c r="CI11" i="5"/>
  <c r="CH11" i="5"/>
  <c r="CG11" i="5"/>
  <c r="BX11" i="5"/>
  <c r="BW11" i="5"/>
  <c r="BV11" i="5"/>
  <c r="BM11" i="5"/>
  <c r="BL11" i="5"/>
  <c r="BK11" i="5"/>
  <c r="BB11" i="5"/>
  <c r="BA11" i="5"/>
  <c r="AZ11" i="5"/>
  <c r="AQ11" i="5"/>
  <c r="AP11" i="5"/>
  <c r="AO11" i="5"/>
  <c r="AF11" i="5"/>
  <c r="AE11" i="5"/>
  <c r="AD11" i="5"/>
  <c r="AB11" i="5"/>
  <c r="Z11" i="5"/>
  <c r="T11" i="5"/>
  <c r="R11" i="5"/>
  <c r="P11" i="5"/>
  <c r="O11" i="5"/>
  <c r="N11" i="5"/>
  <c r="K11" i="5"/>
  <c r="J11" i="5"/>
  <c r="I11" i="5"/>
  <c r="H11" i="5"/>
  <c r="G11" i="5"/>
  <c r="F11" i="5"/>
  <c r="E11" i="5"/>
  <c r="D11" i="5"/>
  <c r="C11" i="5"/>
  <c r="B11" i="5"/>
  <c r="EA10" i="5"/>
  <c r="DZ10" i="5"/>
  <c r="DY10" i="5"/>
  <c r="DP10" i="5"/>
  <c r="DO10" i="5"/>
  <c r="DN10" i="5"/>
  <c r="DE10" i="5"/>
  <c r="DD10" i="5"/>
  <c r="DC10" i="5"/>
  <c r="CT10" i="5"/>
  <c r="CS10" i="5"/>
  <c r="CR10" i="5"/>
  <c r="CI10" i="5"/>
  <c r="CH10" i="5"/>
  <c r="CG10" i="5"/>
  <c r="BX10" i="5"/>
  <c r="BW10" i="5"/>
  <c r="BV10" i="5"/>
  <c r="BM10" i="5"/>
  <c r="BL10" i="5"/>
  <c r="BK10" i="5"/>
  <c r="BB10" i="5"/>
  <c r="BA10" i="5"/>
  <c r="AZ10" i="5"/>
  <c r="AQ10" i="5"/>
  <c r="AP10" i="5"/>
  <c r="AO10" i="5"/>
  <c r="AF10" i="5"/>
  <c r="AE10" i="5"/>
  <c r="AD10" i="5"/>
  <c r="AB10" i="5"/>
  <c r="Z10" i="5"/>
  <c r="T10" i="5"/>
  <c r="R10" i="5"/>
  <c r="P10" i="5"/>
  <c r="O10" i="5"/>
  <c r="N10" i="5"/>
  <c r="K10" i="5"/>
  <c r="J10" i="5"/>
  <c r="I10" i="5"/>
  <c r="H10" i="5"/>
  <c r="G10" i="5"/>
  <c r="F10" i="5"/>
  <c r="E10" i="5"/>
  <c r="D10" i="5"/>
  <c r="C10" i="5"/>
  <c r="B10" i="5"/>
  <c r="EA9" i="5"/>
  <c r="DZ9" i="5"/>
  <c r="DY9" i="5"/>
  <c r="DP9" i="5"/>
  <c r="DO9" i="5"/>
  <c r="DN9" i="5"/>
  <c r="DE9" i="5"/>
  <c r="DD9" i="5"/>
  <c r="DC9" i="5"/>
  <c r="CT9" i="5"/>
  <c r="CS9" i="5"/>
  <c r="CR9" i="5"/>
  <c r="CI9" i="5"/>
  <c r="CH9" i="5"/>
  <c r="CG9" i="5"/>
  <c r="BX9" i="5"/>
  <c r="BW9" i="5"/>
  <c r="BV9" i="5"/>
  <c r="BM9" i="5"/>
  <c r="BL9" i="5"/>
  <c r="BK9" i="5"/>
  <c r="BB9" i="5"/>
  <c r="BA9" i="5"/>
  <c r="AZ9" i="5"/>
  <c r="AQ9" i="5"/>
  <c r="AP9" i="5"/>
  <c r="AO9" i="5"/>
  <c r="AF9" i="5"/>
  <c r="AE9" i="5"/>
  <c r="AD9" i="5"/>
  <c r="AB9" i="5"/>
  <c r="Z9" i="5"/>
  <c r="T9" i="5"/>
  <c r="R9" i="5"/>
  <c r="P9" i="5"/>
  <c r="O9" i="5"/>
  <c r="N9" i="5"/>
  <c r="K9" i="5"/>
  <c r="J9" i="5"/>
  <c r="I9" i="5"/>
  <c r="H9" i="5"/>
  <c r="G9" i="5"/>
  <c r="F9" i="5"/>
  <c r="E9" i="5"/>
  <c r="D9" i="5"/>
  <c r="C9" i="5"/>
  <c r="B9" i="5"/>
  <c r="EA7" i="5"/>
  <c r="DZ7" i="5"/>
  <c r="DY7" i="5"/>
  <c r="DP7" i="5"/>
  <c r="DO7" i="5"/>
  <c r="DN7" i="5"/>
  <c r="DE7" i="5"/>
  <c r="DD7" i="5"/>
  <c r="DC7" i="5"/>
  <c r="CT7" i="5"/>
  <c r="CS7" i="5"/>
  <c r="CR7" i="5"/>
  <c r="CI7" i="5"/>
  <c r="CH7" i="5"/>
  <c r="CG7" i="5"/>
  <c r="BX7" i="5"/>
  <c r="BW7" i="5"/>
  <c r="BV7" i="5"/>
  <c r="BM7" i="5"/>
  <c r="BL7" i="5"/>
  <c r="BK7" i="5"/>
  <c r="BB7" i="5"/>
  <c r="BA7" i="5"/>
  <c r="AZ7" i="5"/>
  <c r="AQ7" i="5"/>
  <c r="AP7" i="5"/>
  <c r="AO7" i="5"/>
  <c r="AF7" i="5"/>
  <c r="AE7" i="5"/>
  <c r="AD7" i="5"/>
  <c r="AB7" i="5"/>
  <c r="Z7" i="5"/>
  <c r="T7" i="5"/>
  <c r="R7" i="5"/>
  <c r="P7" i="5"/>
  <c r="O7" i="5"/>
  <c r="N7" i="5"/>
  <c r="K7" i="5"/>
  <c r="J7" i="5"/>
  <c r="I7" i="5"/>
  <c r="H7" i="5"/>
  <c r="G7" i="5"/>
  <c r="F7" i="5"/>
  <c r="E7" i="5"/>
  <c r="D7" i="5"/>
  <c r="C7" i="5"/>
  <c r="B7" i="5"/>
  <c r="EA8" i="5"/>
  <c r="DZ8" i="5"/>
  <c r="DY8" i="5"/>
  <c r="DP8" i="5"/>
  <c r="DO8" i="5"/>
  <c r="DN8" i="5"/>
  <c r="DE8" i="5"/>
  <c r="DD8" i="5"/>
  <c r="DC8" i="5"/>
  <c r="CT8" i="5"/>
  <c r="CS8" i="5"/>
  <c r="CR8" i="5"/>
  <c r="CI8" i="5"/>
  <c r="CH8" i="5"/>
  <c r="CG8" i="5"/>
  <c r="BX8" i="5"/>
  <c r="BW8" i="5"/>
  <c r="BV8" i="5"/>
  <c r="BM8" i="5"/>
  <c r="BL8" i="5"/>
  <c r="BK8" i="5"/>
  <c r="BB8" i="5"/>
  <c r="BA8" i="5"/>
  <c r="AZ8" i="5"/>
  <c r="AQ8" i="5"/>
  <c r="AP8" i="5"/>
  <c r="AO8" i="5"/>
  <c r="AF8" i="5"/>
  <c r="AE8" i="5"/>
  <c r="AD8" i="5"/>
  <c r="AB8" i="5"/>
  <c r="Z8" i="5"/>
  <c r="T8" i="5"/>
  <c r="R8" i="5"/>
  <c r="P8" i="5"/>
  <c r="O8" i="5"/>
  <c r="N8" i="5"/>
  <c r="K8" i="5"/>
  <c r="J8" i="5"/>
  <c r="I8" i="5"/>
  <c r="H8" i="5"/>
  <c r="G8" i="5"/>
  <c r="F8" i="5"/>
  <c r="E8" i="5"/>
  <c r="D8" i="5"/>
  <c r="C8" i="5"/>
  <c r="B8" i="5"/>
  <c r="EA6" i="5"/>
  <c r="DZ6" i="5"/>
  <c r="DY6" i="5"/>
  <c r="DP6" i="5"/>
  <c r="DO6" i="5"/>
  <c r="DN6" i="5"/>
  <c r="DE6" i="5"/>
  <c r="DD6" i="5"/>
  <c r="DC6" i="5"/>
  <c r="CT6" i="5"/>
  <c r="CS6" i="5"/>
  <c r="CR6" i="5"/>
  <c r="CI6" i="5"/>
  <c r="CH6" i="5"/>
  <c r="CG6" i="5"/>
  <c r="BX6" i="5"/>
  <c r="BW6" i="5"/>
  <c r="BV6" i="5"/>
  <c r="BM6" i="5"/>
  <c r="BL6" i="5"/>
  <c r="BK6" i="5"/>
  <c r="BB6" i="5"/>
  <c r="BA6" i="5"/>
  <c r="AZ6" i="5"/>
  <c r="AQ6" i="5"/>
  <c r="AP6" i="5"/>
  <c r="AO6" i="5"/>
  <c r="AF6" i="5"/>
  <c r="AE6" i="5"/>
  <c r="AD6" i="5"/>
  <c r="AB6" i="5"/>
  <c r="Z6" i="5"/>
  <c r="T6" i="5"/>
  <c r="R6" i="5"/>
  <c r="P6" i="5"/>
  <c r="O6" i="5"/>
  <c r="N6" i="5"/>
  <c r="K6" i="5"/>
  <c r="J6" i="5"/>
  <c r="I6" i="5"/>
  <c r="H6" i="5"/>
  <c r="G6" i="5"/>
  <c r="F6" i="5"/>
  <c r="E6" i="5"/>
  <c r="D6" i="5"/>
  <c r="C6" i="5"/>
  <c r="B6" i="5"/>
  <c r="A34" i="24"/>
  <c r="A35" i="24" s="1"/>
  <c r="A36" i="24" s="1"/>
  <c r="A37" i="24" s="1"/>
  <c r="A38" i="24" s="1"/>
  <c r="A39" i="24" s="1"/>
  <c r="A40" i="24" s="1"/>
  <c r="A41" i="24" s="1"/>
  <c r="A33" i="24"/>
  <c r="A35" i="23"/>
  <c r="A36" i="23" s="1"/>
  <c r="A37" i="23" s="1"/>
  <c r="A38" i="23" s="1"/>
  <c r="A39" i="23" s="1"/>
  <c r="A40" i="23" s="1"/>
  <c r="A41" i="23" s="1"/>
  <c r="A34" i="23"/>
  <c r="A33" i="23"/>
  <c r="A33" i="22"/>
  <c r="A34" i="22" s="1"/>
  <c r="A35" i="22" s="1"/>
  <c r="A36" i="22" s="1"/>
  <c r="A37" i="22" s="1"/>
  <c r="A38" i="22" s="1"/>
  <c r="A39" i="22" s="1"/>
  <c r="A40" i="22" s="1"/>
  <c r="A41" i="22" s="1"/>
  <c r="A33" i="21"/>
  <c r="A34" i="21" s="1"/>
  <c r="A35" i="21" s="1"/>
  <c r="A36" i="21" s="1"/>
  <c r="A37" i="21" s="1"/>
  <c r="A38" i="21" s="1"/>
  <c r="A39" i="21" s="1"/>
  <c r="A40" i="21" s="1"/>
  <c r="A41" i="21" s="1"/>
  <c r="A34" i="20"/>
  <c r="A35" i="20" s="1"/>
  <c r="A36" i="20" s="1"/>
  <c r="A37" i="20" s="1"/>
  <c r="A38" i="20" s="1"/>
  <c r="A39" i="20" s="1"/>
  <c r="A40" i="20" s="1"/>
  <c r="A41" i="20" s="1"/>
  <c r="A33" i="20"/>
  <c r="A33" i="19"/>
  <c r="A34" i="19" s="1"/>
  <c r="A35" i="19" s="1"/>
  <c r="A36" i="19" s="1"/>
  <c r="A37" i="19" s="1"/>
  <c r="A38" i="19" s="1"/>
  <c r="A39" i="19" s="1"/>
  <c r="A40" i="19" s="1"/>
  <c r="A41" i="19" s="1"/>
  <c r="A33" i="18"/>
  <c r="A34" i="18" s="1"/>
  <c r="A35" i="18" s="1"/>
  <c r="A36" i="18" s="1"/>
  <c r="A37" i="18" s="1"/>
  <c r="A38" i="18" s="1"/>
  <c r="A39" i="18" s="1"/>
  <c r="A40" i="18" s="1"/>
  <c r="A41" i="18" s="1"/>
  <c r="A33" i="17"/>
  <c r="A34" i="17" s="1"/>
  <c r="A35" i="17" s="1"/>
  <c r="A36" i="17" s="1"/>
  <c r="A37" i="17" s="1"/>
  <c r="A38" i="17" s="1"/>
  <c r="A39" i="17" s="1"/>
  <c r="A40" i="17" s="1"/>
  <c r="A41" i="17" s="1"/>
  <c r="A34" i="16"/>
  <c r="A35" i="16" s="1"/>
  <c r="A36" i="16" s="1"/>
  <c r="A37" i="16" s="1"/>
  <c r="A38" i="16" s="1"/>
  <c r="A39" i="16" s="1"/>
  <c r="A40" i="16" s="1"/>
  <c r="A41" i="16" s="1"/>
  <c r="A33" i="16"/>
  <c r="A33" i="15"/>
  <c r="A34" i="15" s="1"/>
  <c r="A35" i="15" s="1"/>
  <c r="A36" i="15" s="1"/>
  <c r="A37" i="15" s="1"/>
  <c r="A38" i="15" s="1"/>
  <c r="A39" i="15" s="1"/>
  <c r="A40" i="15" s="1"/>
  <c r="A41" i="15" s="1"/>
  <c r="A33" i="14"/>
  <c r="A34" i="14" s="1"/>
  <c r="A35" i="14" s="1"/>
  <c r="A36" i="14" s="1"/>
  <c r="A37" i="14" s="1"/>
  <c r="A38" i="14" s="1"/>
  <c r="A39" i="14" s="1"/>
  <c r="A40" i="14" s="1"/>
  <c r="A41" i="14" s="1"/>
  <c r="A33" i="13"/>
  <c r="A34" i="13" s="1"/>
  <c r="A35" i="13" s="1"/>
  <c r="A36" i="13" s="1"/>
  <c r="A37" i="13" s="1"/>
  <c r="A38" i="13" s="1"/>
  <c r="A39" i="13" s="1"/>
  <c r="A40" i="13" s="1"/>
  <c r="A41" i="13" s="1"/>
  <c r="A33" i="12"/>
  <c r="A34" i="12" s="1"/>
  <c r="A35" i="12" s="1"/>
  <c r="A36" i="12" s="1"/>
  <c r="A37" i="12" s="1"/>
  <c r="A38" i="12" s="1"/>
  <c r="A39" i="12" s="1"/>
  <c r="A40" i="12" s="1"/>
  <c r="A41" i="12" s="1"/>
  <c r="A33" i="11"/>
  <c r="A34" i="11" s="1"/>
  <c r="A35" i="11" s="1"/>
  <c r="A36" i="11" s="1"/>
  <c r="A37" i="11" s="1"/>
  <c r="A38" i="11" s="1"/>
  <c r="A39" i="11" s="1"/>
  <c r="A40" i="11" s="1"/>
  <c r="A41" i="11" s="1"/>
  <c r="A33" i="10"/>
  <c r="A34" i="10" s="1"/>
  <c r="A35" i="10" s="1"/>
  <c r="A36" i="10" s="1"/>
  <c r="A37" i="10" s="1"/>
  <c r="A38" i="10" s="1"/>
  <c r="A39" i="10" s="1"/>
  <c r="A40" i="10" s="1"/>
  <c r="A41" i="10" s="1"/>
  <c r="A34" i="9"/>
  <c r="A35" i="9" s="1"/>
  <c r="A36" i="9" s="1"/>
  <c r="A37" i="9" s="1"/>
  <c r="A38" i="9" s="1"/>
  <c r="A39" i="9" s="1"/>
  <c r="A40" i="9" s="1"/>
  <c r="A41" i="9" s="1"/>
  <c r="A33" i="9"/>
  <c r="A33" i="8"/>
  <c r="A34" i="8" s="1"/>
  <c r="A35" i="8" s="1"/>
  <c r="A36" i="8" s="1"/>
  <c r="A37" i="8" s="1"/>
  <c r="A38" i="8" s="1"/>
  <c r="A39" i="8" s="1"/>
  <c r="A40" i="8" s="1"/>
  <c r="A41" i="8" s="1"/>
  <c r="EA5" i="5"/>
  <c r="DZ5" i="5"/>
  <c r="DY5" i="5"/>
  <c r="DP5" i="5"/>
  <c r="DO5" i="5"/>
  <c r="DN5" i="5"/>
  <c r="DE5" i="5"/>
  <c r="DD5" i="5"/>
  <c r="DC5" i="5"/>
  <c r="CT5" i="5"/>
  <c r="CS5" i="5"/>
  <c r="CR5" i="5"/>
  <c r="CI5" i="5"/>
  <c r="CH5" i="5"/>
  <c r="CG5" i="5"/>
  <c r="BX5" i="5"/>
  <c r="BW5" i="5"/>
  <c r="BV5" i="5"/>
  <c r="BM5" i="5"/>
  <c r="BL5" i="5"/>
  <c r="BK5" i="5"/>
  <c r="BB5" i="5"/>
  <c r="BA5" i="5"/>
  <c r="AZ5" i="5"/>
  <c r="AQ5" i="5"/>
  <c r="AP5" i="5"/>
  <c r="AO5" i="5"/>
  <c r="AF5" i="5"/>
  <c r="AE5" i="5"/>
  <c r="AD5" i="5"/>
  <c r="AB5" i="5"/>
  <c r="Z5" i="5"/>
  <c r="T5" i="5"/>
  <c r="K18" i="27" s="1"/>
  <c r="R5" i="5"/>
  <c r="K17" i="27" s="1"/>
  <c r="P5" i="5"/>
  <c r="O5" i="5"/>
  <c r="N5" i="5"/>
  <c r="K5" i="5"/>
  <c r="J5" i="5"/>
  <c r="I5" i="5"/>
  <c r="H5" i="5"/>
  <c r="G5" i="5"/>
  <c r="F5" i="5"/>
  <c r="E5" i="5"/>
  <c r="D5" i="5"/>
  <c r="C5" i="5"/>
  <c r="B5" i="5"/>
  <c r="A33" i="7"/>
  <c r="A34" i="7" s="1"/>
  <c r="A35" i="7" s="1"/>
  <c r="A36" i="7" s="1"/>
  <c r="A37" i="7" s="1"/>
  <c r="A38" i="7" s="1"/>
  <c r="A39" i="7" s="1"/>
  <c r="A40" i="7" s="1"/>
  <c r="A41" i="7" s="1"/>
  <c r="EA4" i="5"/>
  <c r="DZ4" i="5"/>
  <c r="DY4" i="5"/>
  <c r="DP4" i="5"/>
  <c r="DO4" i="5"/>
  <c r="DN4" i="5"/>
  <c r="DE4" i="5"/>
  <c r="DD4" i="5"/>
  <c r="DC4" i="5"/>
  <c r="CT4" i="5"/>
  <c r="CS4" i="5"/>
  <c r="CR4" i="5"/>
  <c r="CI4" i="5"/>
  <c r="CH4" i="5"/>
  <c r="CG4" i="5"/>
  <c r="BX4" i="5"/>
  <c r="BW4" i="5"/>
  <c r="BV4" i="5"/>
  <c r="BM4" i="5"/>
  <c r="BL4" i="5"/>
  <c r="BK4" i="5"/>
  <c r="BB4" i="5"/>
  <c r="BA4" i="5"/>
  <c r="AZ4" i="5"/>
  <c r="AQ4" i="5"/>
  <c r="AP4" i="5"/>
  <c r="AO4" i="5"/>
  <c r="AF4" i="5"/>
  <c r="AE4" i="5"/>
  <c r="AD4" i="5"/>
  <c r="AB4" i="5"/>
  <c r="Z4" i="5"/>
  <c r="T4" i="5"/>
  <c r="K11" i="27" s="1"/>
  <c r="R4" i="5"/>
  <c r="K10" i="27" s="1"/>
  <c r="P4" i="5"/>
  <c r="O4" i="5"/>
  <c r="B4" i="5"/>
  <c r="N4" i="5"/>
  <c r="K4" i="5"/>
  <c r="J4" i="5"/>
  <c r="I4" i="5"/>
  <c r="H4" i="5"/>
  <c r="G4" i="5"/>
  <c r="F4" i="5"/>
  <c r="E4" i="5"/>
  <c r="D4" i="5"/>
  <c r="C4" i="5"/>
  <c r="EA3" i="5"/>
  <c r="DZ3" i="5"/>
  <c r="DY3" i="5"/>
  <c r="DP3" i="5"/>
  <c r="DO3" i="5"/>
  <c r="DN3" i="5"/>
  <c r="DE3" i="5"/>
  <c r="DD3" i="5"/>
  <c r="DC3" i="5"/>
  <c r="CT3" i="5"/>
  <c r="CS3" i="5"/>
  <c r="CR3" i="5"/>
  <c r="CI3" i="5"/>
  <c r="CH3" i="5"/>
  <c r="AQ3" i="5"/>
  <c r="AP3" i="5"/>
  <c r="AO3" i="5"/>
  <c r="AF3" i="5"/>
  <c r="AE3" i="5"/>
  <c r="AD3" i="5"/>
  <c r="AB3" i="5"/>
  <c r="Z3" i="5"/>
  <c r="T3" i="5"/>
  <c r="R3" i="5"/>
  <c r="K3" i="27" s="1"/>
  <c r="P3" i="5"/>
  <c r="O3" i="5"/>
  <c r="N3" i="5"/>
  <c r="K3" i="5"/>
  <c r="J3" i="5"/>
  <c r="I3" i="5"/>
  <c r="H3" i="5"/>
  <c r="G3" i="5"/>
  <c r="F3" i="5"/>
  <c r="E3" i="5"/>
  <c r="D3" i="5"/>
  <c r="C3" i="5"/>
  <c r="B3" i="5"/>
  <c r="A33" i="6"/>
  <c r="A34" i="6" s="1"/>
  <c r="A35" i="6" s="1"/>
  <c r="A36" i="6" s="1"/>
  <c r="A37" i="6" s="1"/>
  <c r="A38" i="6" s="1"/>
  <c r="A39" i="6" s="1"/>
  <c r="A40" i="6" s="1"/>
  <c r="A41" i="6" s="1"/>
  <c r="A34" i="1"/>
  <c r="A35" i="1" s="1"/>
  <c r="A36" i="1" s="1"/>
  <c r="A37" i="1" s="1"/>
  <c r="A38" i="1" s="1"/>
  <c r="A39" i="1" s="1"/>
  <c r="A40" i="1" s="1"/>
  <c r="A41" i="1" s="1"/>
  <c r="A33" i="1"/>
  <c r="A34" i="2"/>
  <c r="A35" i="2" s="1"/>
  <c r="A36" i="2" s="1"/>
  <c r="A37" i="2" s="1"/>
  <c r="A38" i="2" s="1"/>
  <c r="A39" i="2" s="1"/>
  <c r="A40" i="2" s="1"/>
  <c r="A41" i="2" s="1"/>
  <c r="A33" i="2"/>
  <c r="R12" i="25" l="1"/>
  <c r="R10" i="25"/>
  <c r="R8" i="25"/>
  <c r="R6" i="25"/>
  <c r="R15" i="25"/>
  <c r="R13" i="25"/>
  <c r="R11" i="25"/>
  <c r="R9" i="25"/>
  <c r="R7" i="25"/>
  <c r="Q278" i="25"/>
  <c r="E278" i="25" s="1"/>
  <c r="Q280" i="25"/>
  <c r="Q281" i="25"/>
  <c r="E281" i="25" s="1"/>
  <c r="Q259" i="25"/>
  <c r="E259" i="25" s="1"/>
  <c r="R216" i="25"/>
  <c r="Q203" i="25"/>
  <c r="E203" i="25" s="1"/>
  <c r="R192" i="25"/>
  <c r="L23" i="27"/>
  <c r="M23" i="27"/>
  <c r="K23" i="27"/>
  <c r="I24" i="27"/>
  <c r="N23" i="27"/>
  <c r="G27" i="28"/>
  <c r="K2" i="27"/>
  <c r="AV13" i="5"/>
  <c r="AX13" i="5"/>
  <c r="R76" i="25"/>
  <c r="R62" i="25"/>
  <c r="R118" i="25"/>
  <c r="Q258" i="25"/>
  <c r="Q276" i="25"/>
  <c r="Q277" i="25"/>
  <c r="E277" i="25" s="1"/>
  <c r="Q235" i="25"/>
  <c r="E235" i="25" s="1"/>
  <c r="Q237" i="25"/>
  <c r="E237" i="25" s="1"/>
  <c r="E218" i="25"/>
  <c r="E221" i="25"/>
  <c r="Q192" i="25"/>
  <c r="E192" i="25" s="1"/>
  <c r="Q193" i="25"/>
  <c r="E193" i="25" s="1"/>
  <c r="Q194" i="25"/>
  <c r="E194" i="25" s="1"/>
  <c r="Q178" i="25"/>
  <c r="E178" i="25" s="1"/>
  <c r="Q179" i="25"/>
  <c r="E179" i="25" s="1"/>
  <c r="Q151" i="25"/>
  <c r="E151" i="25" s="1"/>
  <c r="R164" i="25"/>
  <c r="E164" i="25" s="1"/>
  <c r="Q248" i="25"/>
  <c r="E248" i="25" s="1"/>
  <c r="Q249" i="25"/>
  <c r="E249" i="25" s="1"/>
  <c r="E7" i="25"/>
  <c r="E216" i="25"/>
  <c r="J216" i="25" s="1"/>
  <c r="E224" i="25"/>
  <c r="E225" i="25"/>
  <c r="Q207" i="25"/>
  <c r="E207" i="25" s="1"/>
  <c r="R188" i="25"/>
  <c r="R196" i="25"/>
  <c r="Q188" i="25"/>
  <c r="Q189" i="25"/>
  <c r="E189" i="25" s="1"/>
  <c r="Q190" i="25"/>
  <c r="E190" i="25" s="1"/>
  <c r="Q196" i="25"/>
  <c r="E196" i="25" s="1"/>
  <c r="Q197" i="25"/>
  <c r="E197" i="25" s="1"/>
  <c r="Q176" i="25"/>
  <c r="E176" i="25" s="1"/>
  <c r="Q177" i="25"/>
  <c r="E177" i="25" s="1"/>
  <c r="R174" i="25"/>
  <c r="E174" i="25" s="1"/>
  <c r="J174" i="25" s="1"/>
  <c r="R182" i="25"/>
  <c r="Q166" i="25"/>
  <c r="E166" i="25" s="1"/>
  <c r="Q168" i="25"/>
  <c r="Q169" i="25"/>
  <c r="E169" i="25" s="1"/>
  <c r="R160" i="25"/>
  <c r="R168" i="25"/>
  <c r="Q160" i="25"/>
  <c r="Q161" i="25"/>
  <c r="E161" i="25" s="1"/>
  <c r="R149" i="25"/>
  <c r="E149" i="25" s="1"/>
  <c r="Q155" i="25"/>
  <c r="E155" i="25" s="1"/>
  <c r="Q260" i="25"/>
  <c r="E260" i="25" s="1"/>
  <c r="Q262" i="25"/>
  <c r="Q263" i="25"/>
  <c r="E263" i="25" s="1"/>
  <c r="R258" i="25"/>
  <c r="E258" i="25" s="1"/>
  <c r="R262" i="25"/>
  <c r="R266" i="25"/>
  <c r="Q264" i="25"/>
  <c r="E264" i="25" s="1"/>
  <c r="Q266" i="25"/>
  <c r="Q267" i="25"/>
  <c r="E267" i="25" s="1"/>
  <c r="Q231" i="25"/>
  <c r="E231" i="25" s="1"/>
  <c r="Q239" i="25"/>
  <c r="E239" i="25" s="1"/>
  <c r="Q247" i="25"/>
  <c r="Q250" i="25"/>
  <c r="E250" i="25" s="1"/>
  <c r="Q251" i="25"/>
  <c r="Q272" i="25"/>
  <c r="Q273" i="25"/>
  <c r="E273" i="25" s="1"/>
  <c r="R272" i="25"/>
  <c r="R276" i="25"/>
  <c r="R280" i="25"/>
  <c r="Q279" i="25"/>
  <c r="E279" i="25" s="1"/>
  <c r="R275" i="25"/>
  <c r="Q274" i="25"/>
  <c r="E274" i="25" s="1"/>
  <c r="Q275" i="25"/>
  <c r="E275" i="25" s="1"/>
  <c r="Q265" i="25"/>
  <c r="E265" i="25" s="1"/>
  <c r="Q261" i="25"/>
  <c r="E261" i="25" s="1"/>
  <c r="Q244" i="25"/>
  <c r="R247" i="25"/>
  <c r="Q252" i="25"/>
  <c r="E252" i="25" s="1"/>
  <c r="Q246" i="25"/>
  <c r="E246" i="25" s="1"/>
  <c r="R251" i="25"/>
  <c r="R234" i="25"/>
  <c r="Q233" i="25"/>
  <c r="E233" i="25" s="1"/>
  <c r="R230" i="25"/>
  <c r="R238" i="25"/>
  <c r="E219" i="25"/>
  <c r="Q205" i="25"/>
  <c r="E205" i="25" s="1"/>
  <c r="R202" i="25"/>
  <c r="R210" i="25"/>
  <c r="Q209" i="25"/>
  <c r="E209" i="25" s="1"/>
  <c r="Q191" i="25"/>
  <c r="E191" i="25" s="1"/>
  <c r="Q195" i="25"/>
  <c r="E195" i="25" s="1"/>
  <c r="Q181" i="25"/>
  <c r="E181" i="25" s="1"/>
  <c r="Q167" i="25"/>
  <c r="E167" i="25" s="1"/>
  <c r="R154" i="25"/>
  <c r="Q153" i="25"/>
  <c r="E153" i="25" s="1"/>
  <c r="R146" i="25"/>
  <c r="R150" i="25"/>
  <c r="E245" i="25"/>
  <c r="E253" i="25"/>
  <c r="Q236" i="25"/>
  <c r="E236" i="25" s="1"/>
  <c r="Q232" i="25"/>
  <c r="E232" i="25" s="1"/>
  <c r="Q230" i="25"/>
  <c r="Q238" i="25"/>
  <c r="E238" i="25" s="1"/>
  <c r="Q204" i="25"/>
  <c r="E204" i="25" s="1"/>
  <c r="Q234" i="25"/>
  <c r="E217" i="25"/>
  <c r="E222" i="25"/>
  <c r="E223" i="25"/>
  <c r="Q208" i="25"/>
  <c r="E208" i="25" s="1"/>
  <c r="Q202" i="25"/>
  <c r="Q210" i="25"/>
  <c r="Q206" i="25"/>
  <c r="E206" i="25" s="1"/>
  <c r="E211" i="25"/>
  <c r="Q148" i="25"/>
  <c r="E148" i="25" s="1"/>
  <c r="Q76" i="25"/>
  <c r="Q85" i="25"/>
  <c r="E85" i="25" s="1"/>
  <c r="Q78" i="25"/>
  <c r="E78" i="25" s="1"/>
  <c r="Q77" i="25"/>
  <c r="E77" i="25" s="1"/>
  <c r="E182" i="25"/>
  <c r="E175" i="25"/>
  <c r="E180" i="25"/>
  <c r="E183" i="25"/>
  <c r="E165" i="25"/>
  <c r="E163" i="25"/>
  <c r="E162" i="25"/>
  <c r="Q150" i="25"/>
  <c r="E150" i="25" s="1"/>
  <c r="Q146" i="25"/>
  <c r="Q154" i="25"/>
  <c r="Q80" i="25"/>
  <c r="E80" i="25" s="1"/>
  <c r="Q79" i="25"/>
  <c r="E79" i="25" s="1"/>
  <c r="Q152" i="25"/>
  <c r="E152" i="25" s="1"/>
  <c r="Q82" i="25"/>
  <c r="E82" i="25" s="1"/>
  <c r="Q81" i="25"/>
  <c r="E81" i="25" s="1"/>
  <c r="Q84" i="25"/>
  <c r="E84" i="25" s="1"/>
  <c r="Q83" i="25"/>
  <c r="E83" i="25" s="1"/>
  <c r="R93" i="25"/>
  <c r="R97" i="25"/>
  <c r="R104" i="25"/>
  <c r="R108" i="25"/>
  <c r="R112" i="25"/>
  <c r="R50" i="25"/>
  <c r="R54" i="25"/>
  <c r="R65" i="25"/>
  <c r="R69" i="25"/>
  <c r="R106" i="25"/>
  <c r="R110" i="25"/>
  <c r="Q99" i="25"/>
  <c r="Q106" i="25"/>
  <c r="Q110" i="25"/>
  <c r="R121" i="25"/>
  <c r="R125" i="25"/>
  <c r="R132" i="25"/>
  <c r="R136" i="25"/>
  <c r="R140" i="25"/>
  <c r="R123" i="25"/>
  <c r="R63" i="25"/>
  <c r="R105" i="25"/>
  <c r="R109" i="25"/>
  <c r="R49" i="25"/>
  <c r="R57" i="25"/>
  <c r="Q92" i="25"/>
  <c r="E92" i="25" s="1"/>
  <c r="Q96" i="25"/>
  <c r="E96" i="25" s="1"/>
  <c r="Q107" i="25"/>
  <c r="E107" i="25" s="1"/>
  <c r="Q111" i="25"/>
  <c r="E111" i="25" s="1"/>
  <c r="R119" i="25"/>
  <c r="R127" i="25"/>
  <c r="R134" i="25"/>
  <c r="R138" i="25"/>
  <c r="R48" i="25"/>
  <c r="R52" i="25"/>
  <c r="R56" i="25"/>
  <c r="R67" i="25"/>
  <c r="R71" i="25"/>
  <c r="Q48" i="25"/>
  <c r="Q49" i="25"/>
  <c r="Q51" i="25"/>
  <c r="E51" i="25" s="1"/>
  <c r="Q52" i="25"/>
  <c r="Q53" i="25"/>
  <c r="Q54" i="25"/>
  <c r="Q55" i="25"/>
  <c r="E55" i="25" s="1"/>
  <c r="Q56" i="25"/>
  <c r="Q57" i="25"/>
  <c r="E57" i="25" s="1"/>
  <c r="Q62" i="25"/>
  <c r="E62" i="25" s="1"/>
  <c r="J62" i="25" s="1"/>
  <c r="Q64" i="25"/>
  <c r="Q65" i="25"/>
  <c r="Q66" i="25"/>
  <c r="E66" i="25" s="1"/>
  <c r="Q68" i="25"/>
  <c r="Q69" i="25"/>
  <c r="Q70" i="25"/>
  <c r="E70" i="25" s="1"/>
  <c r="Q71" i="25"/>
  <c r="R53" i="25"/>
  <c r="R113" i="25"/>
  <c r="R90" i="25"/>
  <c r="R94" i="25"/>
  <c r="R98" i="25"/>
  <c r="Q93" i="25"/>
  <c r="E93" i="25" s="1"/>
  <c r="Q97" i="25"/>
  <c r="Q104" i="25"/>
  <c r="Q108" i="25"/>
  <c r="Q112" i="25"/>
  <c r="E112" i="25" s="1"/>
  <c r="R120" i="25"/>
  <c r="R124" i="25"/>
  <c r="R135" i="25"/>
  <c r="R139" i="25"/>
  <c r="Q21" i="25"/>
  <c r="Q22" i="25"/>
  <c r="Q25" i="25"/>
  <c r="Q27" i="25"/>
  <c r="Q29" i="25"/>
  <c r="R64" i="25"/>
  <c r="R68" i="25"/>
  <c r="Q132" i="25"/>
  <c r="Q133" i="25"/>
  <c r="E133" i="25" s="1"/>
  <c r="Q134" i="25"/>
  <c r="Q135" i="25"/>
  <c r="Q136" i="25"/>
  <c r="Q138" i="25"/>
  <c r="Q139" i="25"/>
  <c r="Q140" i="25"/>
  <c r="Q141" i="25"/>
  <c r="E141" i="25" s="1"/>
  <c r="R91" i="25"/>
  <c r="R95" i="25"/>
  <c r="R99" i="25"/>
  <c r="Q34" i="25"/>
  <c r="Q35" i="25"/>
  <c r="Q36" i="25"/>
  <c r="E36" i="25" s="1"/>
  <c r="Q37" i="25"/>
  <c r="E37" i="25" s="1"/>
  <c r="Q38" i="25"/>
  <c r="Q39" i="25"/>
  <c r="Q40" i="25"/>
  <c r="R41" i="25"/>
  <c r="Q42" i="25"/>
  <c r="Q43" i="25"/>
  <c r="Q20" i="25"/>
  <c r="R23" i="25"/>
  <c r="Q24" i="25"/>
  <c r="R26" i="25"/>
  <c r="Q28" i="25"/>
  <c r="Q90" i="25"/>
  <c r="Q94" i="25"/>
  <c r="Q98" i="25"/>
  <c r="Q109" i="25"/>
  <c r="Q113" i="25"/>
  <c r="E14" i="25"/>
  <c r="E13" i="25"/>
  <c r="J13" i="25" s="1"/>
  <c r="E12" i="25"/>
  <c r="J12" i="25" s="1"/>
  <c r="E10" i="25"/>
  <c r="J10" i="25" s="1"/>
  <c r="E9" i="25"/>
  <c r="J9" i="25" s="1"/>
  <c r="Q118" i="25"/>
  <c r="Q119" i="25"/>
  <c r="Q120" i="25"/>
  <c r="Q121" i="25"/>
  <c r="E121" i="25" s="1"/>
  <c r="Q122" i="25"/>
  <c r="E122" i="25" s="1"/>
  <c r="Q124" i="25"/>
  <c r="Q125" i="25"/>
  <c r="Q126" i="25"/>
  <c r="E126" i="25" s="1"/>
  <c r="Q127" i="25"/>
  <c r="R37" i="25"/>
  <c r="R40" i="25"/>
  <c r="R36" i="25"/>
  <c r="R43" i="25"/>
  <c r="R39" i="25"/>
  <c r="R35" i="25"/>
  <c r="R42" i="25"/>
  <c r="R38" i="25"/>
  <c r="R34" i="25"/>
  <c r="R27" i="25"/>
  <c r="R22" i="25"/>
  <c r="R29" i="25"/>
  <c r="R25" i="25"/>
  <c r="R21" i="25"/>
  <c r="R28" i="25"/>
  <c r="R24" i="25"/>
  <c r="R20" i="25"/>
  <c r="Q23" i="25"/>
  <c r="E23" i="25" s="1"/>
  <c r="Q26" i="25"/>
  <c r="E26" i="25" s="1"/>
  <c r="Q41" i="25"/>
  <c r="Q95" i="25"/>
  <c r="Q91" i="25"/>
  <c r="Q105" i="25"/>
  <c r="Q123" i="25"/>
  <c r="Q137" i="25"/>
  <c r="E137" i="25" s="1"/>
  <c r="Q67" i="25"/>
  <c r="Q63" i="25"/>
  <c r="Q50" i="25"/>
  <c r="E29" i="25" l="1"/>
  <c r="E21" i="25"/>
  <c r="E24" i="25"/>
  <c r="J24" i="25" s="1"/>
  <c r="CE4" i="5" s="1"/>
  <c r="E27" i="25"/>
  <c r="DJ4" i="5" s="1"/>
  <c r="E25" i="25"/>
  <c r="E28" i="25"/>
  <c r="E22" i="25"/>
  <c r="BG4" i="5" s="1"/>
  <c r="E41" i="25"/>
  <c r="J41" i="25" s="1"/>
  <c r="DL5" i="5" s="1"/>
  <c r="E43" i="25"/>
  <c r="E39" i="25"/>
  <c r="E35" i="25"/>
  <c r="J35" i="25" s="1"/>
  <c r="AX5" i="5" s="1"/>
  <c r="E42" i="25"/>
  <c r="J42" i="25" s="1"/>
  <c r="DW5" i="5" s="1"/>
  <c r="E38" i="25"/>
  <c r="E40" i="25"/>
  <c r="E188" i="25"/>
  <c r="J188" i="25" s="1"/>
  <c r="AM16" i="5" s="1"/>
  <c r="AV3" i="5"/>
  <c r="J7" i="25"/>
  <c r="AX3" i="5" s="1"/>
  <c r="DU3" i="5"/>
  <c r="J14" i="25"/>
  <c r="DW3" i="5" s="1"/>
  <c r="E280" i="25"/>
  <c r="DU22" i="5" s="1"/>
  <c r="AK21" i="5"/>
  <c r="J258" i="25"/>
  <c r="AM21" i="5" s="1"/>
  <c r="E8" i="25"/>
  <c r="M24" i="27"/>
  <c r="L24" i="27"/>
  <c r="K24" i="27"/>
  <c r="I25" i="27"/>
  <c r="N24" i="27"/>
  <c r="AV22" i="5"/>
  <c r="J273" i="25"/>
  <c r="AX22" i="5" s="1"/>
  <c r="EF22" i="5"/>
  <c r="J281" i="25"/>
  <c r="EH22" i="5" s="1"/>
  <c r="BG22" i="5"/>
  <c r="J274" i="25"/>
  <c r="BI22" i="5" s="1"/>
  <c r="CN22" i="5"/>
  <c r="J277" i="25"/>
  <c r="CP22" i="5" s="1"/>
  <c r="CY22" i="5"/>
  <c r="J278" i="25"/>
  <c r="DA22" i="5" s="1"/>
  <c r="DJ22" i="5"/>
  <c r="J279" i="25"/>
  <c r="DL22" i="5" s="1"/>
  <c r="BR22" i="5"/>
  <c r="J275" i="25"/>
  <c r="BT22" i="5" s="1"/>
  <c r="BR21" i="5"/>
  <c r="J261" i="25"/>
  <c r="BT21" i="5" s="1"/>
  <c r="EF21" i="5"/>
  <c r="J267" i="25"/>
  <c r="EH21" i="5" s="1"/>
  <c r="BG21" i="5"/>
  <c r="J260" i="25"/>
  <c r="BI21" i="5" s="1"/>
  <c r="DJ21" i="5"/>
  <c r="J265" i="25"/>
  <c r="DL21" i="5" s="1"/>
  <c r="AV21" i="5"/>
  <c r="J259" i="25"/>
  <c r="AX21" i="5" s="1"/>
  <c r="CY21" i="5"/>
  <c r="J264" i="25"/>
  <c r="DA21" i="5" s="1"/>
  <c r="CN21" i="5"/>
  <c r="J263" i="25"/>
  <c r="CP21" i="5" s="1"/>
  <c r="EF20" i="5"/>
  <c r="J253" i="25"/>
  <c r="EH20" i="5" s="1"/>
  <c r="BG20" i="5"/>
  <c r="J246" i="25"/>
  <c r="BI20" i="5" s="1"/>
  <c r="CY20" i="5"/>
  <c r="J250" i="25"/>
  <c r="DA20" i="5" s="1"/>
  <c r="AV20" i="5"/>
  <c r="J245" i="25"/>
  <c r="AX20" i="5" s="1"/>
  <c r="DU20" i="5"/>
  <c r="J252" i="25"/>
  <c r="DW20" i="5" s="1"/>
  <c r="CN20" i="5"/>
  <c r="J249" i="25"/>
  <c r="CP20" i="5" s="1"/>
  <c r="CC20" i="5"/>
  <c r="J248" i="25"/>
  <c r="CE20" i="5" s="1"/>
  <c r="CY19" i="5"/>
  <c r="J236" i="25"/>
  <c r="DA19" i="5" s="1"/>
  <c r="AV19" i="5"/>
  <c r="J231" i="25"/>
  <c r="AX19" i="5" s="1"/>
  <c r="DU19" i="5"/>
  <c r="J238" i="25"/>
  <c r="DW19" i="5" s="1"/>
  <c r="BR19" i="5"/>
  <c r="J233" i="25"/>
  <c r="BT19" i="5" s="1"/>
  <c r="DJ19" i="5"/>
  <c r="J237" i="25"/>
  <c r="DL19" i="5" s="1"/>
  <c r="BG19" i="5"/>
  <c r="J232" i="25"/>
  <c r="BI19" i="5" s="1"/>
  <c r="EF19" i="5"/>
  <c r="J239" i="25"/>
  <c r="EH19" i="5" s="1"/>
  <c r="CN19" i="5"/>
  <c r="J235" i="25"/>
  <c r="CP19" i="5" s="1"/>
  <c r="DU18" i="5"/>
  <c r="J224" i="25"/>
  <c r="DW18" i="5" s="1"/>
  <c r="CN18" i="5"/>
  <c r="J221" i="25"/>
  <c r="CP18" i="5" s="1"/>
  <c r="CY18" i="5"/>
  <c r="J222" i="25"/>
  <c r="DA18" i="5" s="1"/>
  <c r="BG18" i="5"/>
  <c r="J218" i="25"/>
  <c r="BI18" i="5" s="1"/>
  <c r="DJ18" i="5"/>
  <c r="J223" i="25"/>
  <c r="DL18" i="5" s="1"/>
  <c r="AV18" i="5"/>
  <c r="J217" i="25"/>
  <c r="AX18" i="5" s="1"/>
  <c r="BR18" i="5"/>
  <c r="J219" i="25"/>
  <c r="BT18" i="5" s="1"/>
  <c r="EF18" i="5"/>
  <c r="J225" i="25"/>
  <c r="EH18" i="5" s="1"/>
  <c r="AK18" i="5"/>
  <c r="AM18" i="5"/>
  <c r="CC17" i="5"/>
  <c r="J206" i="25"/>
  <c r="CE17" i="5" s="1"/>
  <c r="EF17" i="5"/>
  <c r="J211" i="25"/>
  <c r="EH17" i="5" s="1"/>
  <c r="BR17" i="5"/>
  <c r="J205" i="25"/>
  <c r="BT17" i="5" s="1"/>
  <c r="CN17" i="5"/>
  <c r="J207" i="25"/>
  <c r="CP17" i="5" s="1"/>
  <c r="BG17" i="5"/>
  <c r="J204" i="25"/>
  <c r="BI17" i="5" s="1"/>
  <c r="AV17" i="5"/>
  <c r="J203" i="25"/>
  <c r="AX17" i="5" s="1"/>
  <c r="CY17" i="5"/>
  <c r="J208" i="25"/>
  <c r="DA17" i="5" s="1"/>
  <c r="DJ17" i="5"/>
  <c r="J209" i="25"/>
  <c r="DL17" i="5" s="1"/>
  <c r="DU16" i="5"/>
  <c r="J196" i="25"/>
  <c r="DW16" i="5" s="1"/>
  <c r="DJ16" i="5"/>
  <c r="J195" i="25"/>
  <c r="DL16" i="5" s="1"/>
  <c r="BG16" i="5"/>
  <c r="J190" i="25"/>
  <c r="BI16" i="5" s="1"/>
  <c r="CY16" i="5"/>
  <c r="J194" i="25"/>
  <c r="DA16" i="5" s="1"/>
  <c r="BR16" i="5"/>
  <c r="J191" i="25"/>
  <c r="BT16" i="5" s="1"/>
  <c r="AV16" i="5"/>
  <c r="J189" i="25"/>
  <c r="AX16" i="5" s="1"/>
  <c r="CN16" i="5"/>
  <c r="J193" i="25"/>
  <c r="CP16" i="5" s="1"/>
  <c r="EF16" i="5"/>
  <c r="J197" i="25"/>
  <c r="EH16" i="5" s="1"/>
  <c r="CC16" i="5"/>
  <c r="J192" i="25"/>
  <c r="CE16" i="5" s="1"/>
  <c r="AK16" i="5"/>
  <c r="DU15" i="5"/>
  <c r="J182" i="25"/>
  <c r="DW15" i="5" s="1"/>
  <c r="DJ15" i="5"/>
  <c r="J181" i="25"/>
  <c r="DL15" i="5" s="1"/>
  <c r="CC15" i="5"/>
  <c r="J178" i="25"/>
  <c r="CE15" i="5" s="1"/>
  <c r="EF15" i="5"/>
  <c r="J183" i="25"/>
  <c r="EH15" i="5" s="1"/>
  <c r="BR15" i="5"/>
  <c r="J177" i="25"/>
  <c r="BT15" i="5" s="1"/>
  <c r="CY15" i="5"/>
  <c r="J180" i="25"/>
  <c r="DA15" i="5" s="1"/>
  <c r="BG15" i="5"/>
  <c r="J176" i="25"/>
  <c r="BI15" i="5" s="1"/>
  <c r="AV15" i="5"/>
  <c r="J175" i="25"/>
  <c r="AX15" i="5" s="1"/>
  <c r="CN15" i="5"/>
  <c r="J179" i="25"/>
  <c r="CP15" i="5" s="1"/>
  <c r="AK15" i="5"/>
  <c r="AM15" i="5"/>
  <c r="CN14" i="5"/>
  <c r="J165" i="25"/>
  <c r="CP14" i="5" s="1"/>
  <c r="AV14" i="5"/>
  <c r="J161" i="25"/>
  <c r="AX14" i="5" s="1"/>
  <c r="EF14" i="5"/>
  <c r="J169" i="25"/>
  <c r="EH14" i="5" s="1"/>
  <c r="BG14" i="5"/>
  <c r="J162" i="25"/>
  <c r="BI14" i="5" s="1"/>
  <c r="DJ14" i="5"/>
  <c r="J167" i="25"/>
  <c r="DL14" i="5" s="1"/>
  <c r="CY14" i="5"/>
  <c r="J166" i="25"/>
  <c r="DA14" i="5" s="1"/>
  <c r="BR14" i="5"/>
  <c r="J163" i="25"/>
  <c r="BT14" i="5" s="1"/>
  <c r="CC14" i="5"/>
  <c r="J164" i="25"/>
  <c r="CE14" i="5" s="1"/>
  <c r="CY13" i="5"/>
  <c r="J152" i="25"/>
  <c r="DA13" i="5" s="1"/>
  <c r="DJ13" i="5"/>
  <c r="J153" i="25"/>
  <c r="DL13" i="5" s="1"/>
  <c r="CC13" i="5"/>
  <c r="J150" i="25"/>
  <c r="CE13" i="5" s="1"/>
  <c r="BG13" i="5"/>
  <c r="J148" i="25"/>
  <c r="BI13" i="5" s="1"/>
  <c r="EF13" i="5"/>
  <c r="J155" i="25"/>
  <c r="EH13" i="5" s="1"/>
  <c r="CN13" i="5"/>
  <c r="J151" i="25"/>
  <c r="CP13" i="5" s="1"/>
  <c r="BR13" i="5"/>
  <c r="J149" i="25"/>
  <c r="BT13" i="5" s="1"/>
  <c r="AV12" i="5"/>
  <c r="J133" i="25"/>
  <c r="AX12" i="5" s="1"/>
  <c r="EF12" i="5"/>
  <c r="J141" i="25"/>
  <c r="EH12" i="5" s="1"/>
  <c r="CN12" i="5"/>
  <c r="J137" i="25"/>
  <c r="CP12" i="5" s="1"/>
  <c r="CC11" i="5"/>
  <c r="J122" i="25"/>
  <c r="CE11" i="5" s="1"/>
  <c r="DU11" i="5"/>
  <c r="J126" i="25"/>
  <c r="DW11" i="5" s="1"/>
  <c r="BR11" i="5"/>
  <c r="J121" i="25"/>
  <c r="BT11" i="5" s="1"/>
  <c r="DU10" i="5"/>
  <c r="J112" i="25"/>
  <c r="DW10" i="5" s="1"/>
  <c r="DJ10" i="5"/>
  <c r="J111" i="25"/>
  <c r="DL10" i="5" s="1"/>
  <c r="BR10" i="5"/>
  <c r="J107" i="25"/>
  <c r="BT10" i="5" s="1"/>
  <c r="BG9" i="5"/>
  <c r="J92" i="25"/>
  <c r="BI9" i="5" s="1"/>
  <c r="BR9" i="5"/>
  <c r="J93" i="25"/>
  <c r="BT9" i="5" s="1"/>
  <c r="CY9" i="5"/>
  <c r="J96" i="25"/>
  <c r="DA9" i="5" s="1"/>
  <c r="CC8" i="5"/>
  <c r="J80" i="25"/>
  <c r="CE8" i="5" s="1"/>
  <c r="BG8" i="5"/>
  <c r="J78" i="25"/>
  <c r="BI8" i="5" s="1"/>
  <c r="CY8" i="5"/>
  <c r="J82" i="25"/>
  <c r="DA8" i="5" s="1"/>
  <c r="EF8" i="5"/>
  <c r="J85" i="25"/>
  <c r="EH8" i="5" s="1"/>
  <c r="DJ8" i="5"/>
  <c r="J83" i="25"/>
  <c r="DL8" i="5" s="1"/>
  <c r="CN8" i="5"/>
  <c r="J81" i="25"/>
  <c r="CP8" i="5" s="1"/>
  <c r="DU8" i="5"/>
  <c r="J84" i="25"/>
  <c r="DW8" i="5" s="1"/>
  <c r="BR8" i="5"/>
  <c r="J79" i="25"/>
  <c r="BT8" i="5" s="1"/>
  <c r="AV8" i="5"/>
  <c r="J77" i="25"/>
  <c r="AX8" i="5" s="1"/>
  <c r="DU7" i="5"/>
  <c r="J70" i="25"/>
  <c r="DW7" i="5" s="1"/>
  <c r="CC7" i="5"/>
  <c r="J66" i="25"/>
  <c r="CE7" i="5" s="1"/>
  <c r="AK7" i="5"/>
  <c r="AM7" i="5"/>
  <c r="DJ6" i="5"/>
  <c r="J55" i="25"/>
  <c r="DL6" i="5" s="1"/>
  <c r="BR6" i="5"/>
  <c r="J51" i="25"/>
  <c r="BT6" i="5" s="1"/>
  <c r="EF6" i="5"/>
  <c r="J57" i="25"/>
  <c r="EH6" i="5" s="1"/>
  <c r="CY4" i="5"/>
  <c r="J26" i="25"/>
  <c r="DA4" i="5" s="1"/>
  <c r="AV4" i="5"/>
  <c r="J21" i="25"/>
  <c r="AX4" i="5" s="1"/>
  <c r="CC4" i="5"/>
  <c r="CN4" i="5"/>
  <c r="J25" i="25"/>
  <c r="CP4" i="5" s="1"/>
  <c r="EF4" i="5"/>
  <c r="J29" i="25"/>
  <c r="EH4" i="5" s="1"/>
  <c r="BR4" i="5"/>
  <c r="J23" i="25"/>
  <c r="BT4" i="5" s="1"/>
  <c r="DU4" i="5"/>
  <c r="J28" i="25"/>
  <c r="DW4" i="5" s="1"/>
  <c r="E276" i="25"/>
  <c r="E272" i="25"/>
  <c r="E220" i="25"/>
  <c r="E50" i="25"/>
  <c r="E6" i="25"/>
  <c r="E266" i="25"/>
  <c r="E247" i="25"/>
  <c r="E251" i="25"/>
  <c r="E262" i="25"/>
  <c r="E11" i="25"/>
  <c r="BR3" i="5"/>
  <c r="BT3" i="5"/>
  <c r="DJ3" i="5"/>
  <c r="DL3" i="5"/>
  <c r="CC3" i="5"/>
  <c r="CE3" i="5"/>
  <c r="CY3" i="5"/>
  <c r="DA3" i="5"/>
  <c r="E168" i="25"/>
  <c r="E210" i="25"/>
  <c r="E160" i="25"/>
  <c r="J160" i="25" s="1"/>
  <c r="E154" i="25"/>
  <c r="AV5" i="5"/>
  <c r="J36" i="25"/>
  <c r="BI5" i="5" s="1"/>
  <c r="BG5" i="5"/>
  <c r="J37" i="25"/>
  <c r="BT5" i="5" s="1"/>
  <c r="BR5" i="5"/>
  <c r="J38" i="25"/>
  <c r="CE5" i="5" s="1"/>
  <c r="CC5" i="5"/>
  <c r="J39" i="25"/>
  <c r="CP5" i="5" s="1"/>
  <c r="CN5" i="5"/>
  <c r="J40" i="25"/>
  <c r="DA5" i="5" s="1"/>
  <c r="CY5" i="5"/>
  <c r="J43" i="25"/>
  <c r="EH5" i="5" s="1"/>
  <c r="EF5" i="5"/>
  <c r="E15" i="25"/>
  <c r="J15" i="25" s="1"/>
  <c r="E244" i="25"/>
  <c r="E20" i="25"/>
  <c r="E146" i="25"/>
  <c r="J146" i="25" s="1"/>
  <c r="E230" i="25"/>
  <c r="E34" i="25"/>
  <c r="E76" i="25"/>
  <c r="J76" i="25" s="1"/>
  <c r="E118" i="25"/>
  <c r="J118" i="25" s="1"/>
  <c r="E234" i="25"/>
  <c r="E202" i="25"/>
  <c r="E64" i="25"/>
  <c r="E119" i="25"/>
  <c r="E65" i="25"/>
  <c r="E108" i="25"/>
  <c r="E56" i="25"/>
  <c r="E123" i="25"/>
  <c r="E125" i="25"/>
  <c r="E104" i="25"/>
  <c r="J104" i="25" s="1"/>
  <c r="E52" i="25"/>
  <c r="E140" i="25"/>
  <c r="E135" i="25"/>
  <c r="E97" i="25"/>
  <c r="E110" i="25"/>
  <c r="E106" i="25"/>
  <c r="E90" i="25"/>
  <c r="E132" i="25"/>
  <c r="J132" i="25" s="1"/>
  <c r="E63" i="25"/>
  <c r="E105" i="25"/>
  <c r="E120" i="25"/>
  <c r="E69" i="25"/>
  <c r="E71" i="25"/>
  <c r="E53" i="25"/>
  <c r="E48" i="25"/>
  <c r="E99" i="25"/>
  <c r="E136" i="25"/>
  <c r="E68" i="25"/>
  <c r="E54" i="25"/>
  <c r="E109" i="25"/>
  <c r="E139" i="25"/>
  <c r="E134" i="25"/>
  <c r="E49" i="25"/>
  <c r="E138" i="25"/>
  <c r="E95" i="25"/>
  <c r="E127" i="25"/>
  <c r="E98" i="25"/>
  <c r="E67" i="25"/>
  <c r="E124" i="25"/>
  <c r="E113" i="25"/>
  <c r="E91" i="25"/>
  <c r="E94" i="25"/>
  <c r="J22" i="25" l="1"/>
  <c r="BI4" i="5" s="1"/>
  <c r="DU5" i="5"/>
  <c r="DJ5" i="5"/>
  <c r="J27" i="25"/>
  <c r="DL4" i="5" s="1"/>
  <c r="AK3" i="5"/>
  <c r="J6" i="25"/>
  <c r="AM3" i="5" s="1"/>
  <c r="J8" i="25"/>
  <c r="BI3" i="5" s="1"/>
  <c r="CN3" i="5"/>
  <c r="J11" i="25"/>
  <c r="CP3" i="5" s="1"/>
  <c r="J280" i="25"/>
  <c r="DW22" i="5" s="1"/>
  <c r="AK22" i="5"/>
  <c r="J272" i="25"/>
  <c r="AM22" i="5" s="1"/>
  <c r="AK20" i="5"/>
  <c r="J244" i="25"/>
  <c r="AM20" i="5" s="1"/>
  <c r="AK19" i="5"/>
  <c r="J230" i="25"/>
  <c r="AM19" i="5" s="1"/>
  <c r="AK17" i="5"/>
  <c r="J202" i="25"/>
  <c r="AM17" i="5" s="1"/>
  <c r="AK6" i="5"/>
  <c r="J48" i="25"/>
  <c r="AM6" i="5" s="1"/>
  <c r="AK4" i="5"/>
  <c r="J20" i="25"/>
  <c r="AM4" i="5" s="1"/>
  <c r="L25" i="27"/>
  <c r="M25" i="27"/>
  <c r="K25" i="27"/>
  <c r="I26" i="27"/>
  <c r="N25" i="27"/>
  <c r="AK9" i="5"/>
  <c r="J90" i="25"/>
  <c r="AM9" i="5" s="1"/>
  <c r="CC22" i="5"/>
  <c r="J276" i="25"/>
  <c r="CE22" i="5" s="1"/>
  <c r="DU21" i="5"/>
  <c r="J266" i="25"/>
  <c r="DW21" i="5" s="1"/>
  <c r="CC21" i="5"/>
  <c r="J262" i="25"/>
  <c r="CE21" i="5" s="1"/>
  <c r="DJ20" i="5"/>
  <c r="J251" i="25"/>
  <c r="DL20" i="5" s="1"/>
  <c r="BR20" i="5"/>
  <c r="J247" i="25"/>
  <c r="BT20" i="5" s="1"/>
  <c r="CC19" i="5"/>
  <c r="J234" i="25"/>
  <c r="CE19" i="5" s="1"/>
  <c r="CC18" i="5"/>
  <c r="J220" i="25"/>
  <c r="CE18" i="5" s="1"/>
  <c r="DU17" i="5"/>
  <c r="J210" i="25"/>
  <c r="DW17" i="5" s="1"/>
  <c r="DU14" i="5"/>
  <c r="J168" i="25"/>
  <c r="DW14" i="5" s="1"/>
  <c r="AK14" i="5"/>
  <c r="AM14" i="5"/>
  <c r="DU13" i="5"/>
  <c r="J154" i="25"/>
  <c r="DW13" i="5" s="1"/>
  <c r="AK13" i="5"/>
  <c r="AM13" i="5"/>
  <c r="CY12" i="5"/>
  <c r="J138" i="25"/>
  <c r="DA12" i="5" s="1"/>
  <c r="DJ12" i="5"/>
  <c r="J139" i="25"/>
  <c r="DL12" i="5" s="1"/>
  <c r="CC12" i="5"/>
  <c r="J136" i="25"/>
  <c r="CE12" i="5" s="1"/>
  <c r="BR12" i="5"/>
  <c r="J135" i="25"/>
  <c r="BT12" i="5" s="1"/>
  <c r="BG12" i="5"/>
  <c r="J134" i="25"/>
  <c r="BI12" i="5" s="1"/>
  <c r="DU12" i="5"/>
  <c r="J140" i="25"/>
  <c r="DW12" i="5" s="1"/>
  <c r="AK12" i="5"/>
  <c r="AM12" i="5"/>
  <c r="CY11" i="5"/>
  <c r="J124" i="25"/>
  <c r="DA11" i="5" s="1"/>
  <c r="BG11" i="5"/>
  <c r="J120" i="25"/>
  <c r="BI11" i="5" s="1"/>
  <c r="DJ11" i="5"/>
  <c r="J125" i="25"/>
  <c r="DL11" i="5" s="1"/>
  <c r="EF11" i="5"/>
  <c r="J127" i="25"/>
  <c r="EH11" i="5" s="1"/>
  <c r="CN11" i="5"/>
  <c r="J123" i="25"/>
  <c r="CP11" i="5" s="1"/>
  <c r="AV11" i="5"/>
  <c r="J119" i="25"/>
  <c r="AX11" i="5" s="1"/>
  <c r="AK11" i="5"/>
  <c r="AM11" i="5"/>
  <c r="CY10" i="5"/>
  <c r="J110" i="25"/>
  <c r="DA10" i="5" s="1"/>
  <c r="CN10" i="5"/>
  <c r="J109" i="25"/>
  <c r="CP10" i="5" s="1"/>
  <c r="CC10" i="5"/>
  <c r="J108" i="25"/>
  <c r="CE10" i="5" s="1"/>
  <c r="EF10" i="5"/>
  <c r="J113" i="25"/>
  <c r="EH10" i="5" s="1"/>
  <c r="AV10" i="5"/>
  <c r="J105" i="25"/>
  <c r="AX10" i="5" s="1"/>
  <c r="BG10" i="5"/>
  <c r="J106" i="25"/>
  <c r="BI10" i="5" s="1"/>
  <c r="AK10" i="5"/>
  <c r="AM10" i="5"/>
  <c r="AV9" i="5"/>
  <c r="J91" i="25"/>
  <c r="AX9" i="5" s="1"/>
  <c r="DU9" i="5"/>
  <c r="J98" i="25"/>
  <c r="DW9" i="5" s="1"/>
  <c r="CN9" i="5"/>
  <c r="J95" i="25"/>
  <c r="CP9" i="5" s="1"/>
  <c r="CC9" i="5"/>
  <c r="J94" i="25"/>
  <c r="CE9" i="5" s="1"/>
  <c r="EF9" i="5"/>
  <c r="J99" i="25"/>
  <c r="EH9" i="5" s="1"/>
  <c r="DJ9" i="5"/>
  <c r="J97" i="25"/>
  <c r="DL9" i="5" s="1"/>
  <c r="AK8" i="5"/>
  <c r="AM8" i="5"/>
  <c r="EF7" i="5"/>
  <c r="J71" i="25"/>
  <c r="EH7" i="5" s="1"/>
  <c r="CN7" i="5"/>
  <c r="J67" i="25"/>
  <c r="CP7" i="5" s="1"/>
  <c r="BR7" i="5"/>
  <c r="J65" i="25"/>
  <c r="BT7" i="5" s="1"/>
  <c r="CY7" i="5"/>
  <c r="J68" i="25"/>
  <c r="DA7" i="5" s="1"/>
  <c r="AV7" i="5"/>
  <c r="J63" i="25"/>
  <c r="AX7" i="5" s="1"/>
  <c r="BG7" i="5"/>
  <c r="J64" i="25"/>
  <c r="BI7" i="5" s="1"/>
  <c r="DJ7" i="5"/>
  <c r="J69" i="25"/>
  <c r="DL7" i="5" s="1"/>
  <c r="CC6" i="5"/>
  <c r="J52" i="25"/>
  <c r="CE6" i="5" s="1"/>
  <c r="DU6" i="5"/>
  <c r="J56" i="25"/>
  <c r="DW6" i="5" s="1"/>
  <c r="BG6" i="5"/>
  <c r="J50" i="25"/>
  <c r="BI6" i="5" s="1"/>
  <c r="AV6" i="5"/>
  <c r="J49" i="25"/>
  <c r="AX6" i="5" s="1"/>
  <c r="CY6" i="5"/>
  <c r="J54" i="25"/>
  <c r="DA6" i="5" s="1"/>
  <c r="CN6" i="5"/>
  <c r="J53" i="25"/>
  <c r="CP6" i="5" s="1"/>
  <c r="EH3" i="5"/>
  <c r="EF3" i="5"/>
  <c r="J34" i="25"/>
  <c r="AM5" i="5" s="1"/>
  <c r="AK5" i="5"/>
  <c r="M26" i="27" l="1"/>
  <c r="L26" i="27"/>
  <c r="K26" i="27"/>
  <c r="I27" i="27"/>
  <c r="N26" i="27"/>
  <c r="L27" i="27" l="1"/>
  <c r="M27" i="27"/>
  <c r="K27" i="27"/>
  <c r="I28" i="27"/>
  <c r="N27" i="27"/>
  <c r="M28" i="27" l="1"/>
  <c r="L28" i="27"/>
  <c r="K28" i="27"/>
  <c r="I29" i="27"/>
  <c r="N28" i="27"/>
  <c r="L29" i="27" l="1"/>
  <c r="M29" i="27"/>
  <c r="K29" i="27"/>
  <c r="I30" i="27"/>
  <c r="N29" i="27"/>
  <c r="M30" i="27" l="1"/>
  <c r="L30" i="27"/>
  <c r="K30" i="27"/>
  <c r="I31" i="27"/>
  <c r="N30" i="27"/>
  <c r="M31" i="27" l="1"/>
  <c r="L31" i="27"/>
  <c r="K31" i="27"/>
  <c r="I32" i="27"/>
  <c r="N31" i="27"/>
  <c r="L32" i="27" l="1"/>
  <c r="M32" i="27"/>
  <c r="K32" i="27"/>
  <c r="I33" i="27"/>
  <c r="N32" i="27"/>
  <c r="M33" i="27" l="1"/>
  <c r="L33" i="27"/>
  <c r="K33" i="27"/>
  <c r="I34" i="27"/>
  <c r="N33" i="27"/>
  <c r="L34" i="27" l="1"/>
  <c r="M34" i="27"/>
  <c r="K34" i="27"/>
  <c r="I35" i="27"/>
  <c r="N34" i="27"/>
  <c r="M35" i="27" l="1"/>
  <c r="L35" i="27"/>
  <c r="K35" i="27"/>
  <c r="I36" i="27"/>
  <c r="N35" i="27"/>
  <c r="L36" i="27" l="1"/>
  <c r="M36" i="27"/>
  <c r="K36" i="27"/>
  <c r="I37" i="27"/>
  <c r="N36" i="27"/>
  <c r="M37" i="27" l="1"/>
  <c r="L37" i="27"/>
  <c r="K37" i="27"/>
  <c r="I38" i="27"/>
  <c r="N37" i="27"/>
  <c r="L38" i="27" l="1"/>
  <c r="M38" i="27"/>
  <c r="K38" i="27"/>
  <c r="I39" i="27"/>
  <c r="N38" i="27"/>
  <c r="M39" i="27" l="1"/>
  <c r="L39" i="27"/>
  <c r="K39" i="27"/>
  <c r="I40" i="27"/>
  <c r="N39" i="27"/>
  <c r="L40" i="27" l="1"/>
  <c r="M40" i="27"/>
  <c r="K40" i="27"/>
  <c r="I41" i="27"/>
  <c r="N40" i="27"/>
  <c r="M41" i="27" l="1"/>
  <c r="L41" i="27"/>
  <c r="K41" i="27"/>
  <c r="I42" i="27"/>
  <c r="N41" i="27"/>
  <c r="L42" i="27" l="1"/>
  <c r="M42" i="27"/>
  <c r="K42" i="27"/>
  <c r="I43" i="27"/>
  <c r="N42" i="27"/>
  <c r="M43" i="27" l="1"/>
  <c r="L43" i="27"/>
  <c r="K43" i="27"/>
  <c r="I44" i="27"/>
  <c r="N43" i="27"/>
  <c r="K44" i="27" l="1"/>
  <c r="M44" i="27"/>
  <c r="L44" i="27"/>
  <c r="I45" i="27"/>
  <c r="N44" i="27"/>
  <c r="J26" i="28"/>
  <c r="G26" i="28"/>
  <c r="J23" i="28"/>
  <c r="G23" i="28"/>
  <c r="L45" i="27" l="1"/>
  <c r="K45" i="27"/>
  <c r="M45" i="27"/>
  <c r="I46" i="27"/>
  <c r="N45" i="27"/>
  <c r="G29" i="28"/>
  <c r="J29" i="28"/>
  <c r="G25" i="28"/>
  <c r="J25" i="28"/>
  <c r="M46" i="27" l="1"/>
  <c r="L46" i="27"/>
  <c r="K46" i="27"/>
  <c r="I47" i="27"/>
  <c r="N46" i="27"/>
  <c r="J24" i="28"/>
  <c r="L47" i="27" l="1"/>
  <c r="M47" i="27"/>
  <c r="K47" i="27"/>
  <c r="I48" i="27"/>
  <c r="N47" i="27"/>
  <c r="G28" i="28"/>
  <c r="J28" i="28"/>
  <c r="M48" i="27" l="1"/>
  <c r="L48" i="27"/>
  <c r="K48" i="27"/>
  <c r="I49" i="27"/>
  <c r="N48" i="27"/>
  <c r="G140" i="28"/>
  <c r="J140" i="28"/>
  <c r="L49" i="27" l="1"/>
  <c r="M49" i="27"/>
  <c r="K49" i="27"/>
  <c r="I50" i="27"/>
  <c r="N49" i="27"/>
  <c r="J138" i="28"/>
  <c r="G138" i="28"/>
  <c r="M50" i="27" l="1"/>
  <c r="L50" i="27"/>
  <c r="K50" i="27"/>
  <c r="I51" i="27"/>
  <c r="N50" i="27"/>
  <c r="J136" i="28"/>
  <c r="G136" i="28"/>
  <c r="L51" i="27" l="1"/>
  <c r="M51" i="27"/>
  <c r="K51" i="27"/>
  <c r="I52" i="27"/>
  <c r="N51" i="27"/>
  <c r="J134" i="28"/>
  <c r="G134" i="28"/>
  <c r="M52" i="27" l="1"/>
  <c r="L52" i="27"/>
  <c r="K52" i="27"/>
  <c r="I53" i="27"/>
  <c r="N52" i="27"/>
  <c r="G137" i="28"/>
  <c r="J137" i="28"/>
  <c r="L53" i="27" l="1"/>
  <c r="M53" i="27"/>
  <c r="K53" i="27"/>
  <c r="I54" i="27"/>
  <c r="N53" i="27"/>
  <c r="G128" i="28"/>
  <c r="J128" i="28"/>
  <c r="M54" i="27" l="1"/>
  <c r="L54" i="27"/>
  <c r="K54" i="27"/>
  <c r="I55" i="27"/>
  <c r="N54" i="27"/>
  <c r="J129" i="28"/>
  <c r="G129" i="28"/>
  <c r="L55" i="27" l="1"/>
  <c r="M55" i="27"/>
  <c r="K55" i="27"/>
  <c r="I56" i="27"/>
  <c r="N55" i="27"/>
  <c r="G141" i="28"/>
  <c r="J141" i="28"/>
  <c r="M56" i="27" l="1"/>
  <c r="L56" i="27"/>
  <c r="K56" i="27"/>
  <c r="I57" i="27"/>
  <c r="N56" i="27"/>
  <c r="G133" i="28"/>
  <c r="J133" i="28"/>
  <c r="L57" i="27" l="1"/>
  <c r="M57" i="27"/>
  <c r="K57" i="27"/>
  <c r="N57" i="27"/>
  <c r="I58" i="27"/>
  <c r="J139" i="28"/>
  <c r="G139" i="28"/>
  <c r="M58" i="27" l="1"/>
  <c r="L58" i="27"/>
  <c r="K58" i="27"/>
  <c r="I59" i="27"/>
  <c r="N58" i="27"/>
  <c r="G135" i="28"/>
  <c r="J135" i="28"/>
  <c r="L59" i="27" l="1"/>
  <c r="M59" i="27"/>
  <c r="K59" i="27"/>
  <c r="I60" i="27"/>
  <c r="N59" i="27"/>
  <c r="J130" i="28"/>
  <c r="G130" i="28"/>
  <c r="M60" i="27" l="1"/>
  <c r="L60" i="27"/>
  <c r="K60" i="27"/>
  <c r="I61" i="27"/>
  <c r="N60" i="27"/>
  <c r="J131" i="28"/>
  <c r="G131" i="28"/>
  <c r="L61" i="27" l="1"/>
  <c r="M61" i="27"/>
  <c r="K61" i="27"/>
  <c r="I62" i="27"/>
  <c r="N61" i="27"/>
  <c r="G132" i="28"/>
  <c r="J132" i="28"/>
  <c r="M62" i="27" l="1"/>
  <c r="L62" i="27"/>
  <c r="K62" i="27"/>
  <c r="I63" i="27"/>
  <c r="N62" i="27"/>
  <c r="G114" i="28"/>
  <c r="J114" i="28"/>
  <c r="L63" i="27" l="1"/>
  <c r="M63" i="27"/>
  <c r="K63" i="27"/>
  <c r="I64" i="27"/>
  <c r="N63" i="27"/>
  <c r="G30" i="28"/>
  <c r="J30" i="28"/>
  <c r="M64" i="27" l="1"/>
  <c r="L64" i="27"/>
  <c r="K64" i="27"/>
  <c r="N64" i="27"/>
  <c r="I65" i="27"/>
  <c r="G31" i="28"/>
  <c r="J31" i="28"/>
  <c r="L65" i="27" l="1"/>
  <c r="M65" i="27"/>
  <c r="K65" i="27"/>
  <c r="I66" i="27"/>
  <c r="N65" i="27"/>
  <c r="G32" i="28"/>
  <c r="J32" i="28"/>
  <c r="M66" i="27" l="1"/>
  <c r="L66" i="27"/>
  <c r="K66" i="27"/>
  <c r="I67" i="27"/>
  <c r="N66" i="27"/>
  <c r="G33" i="28"/>
  <c r="J33" i="28"/>
  <c r="L67" i="27" l="1"/>
  <c r="M67" i="27"/>
  <c r="K67" i="27"/>
  <c r="I68" i="27"/>
  <c r="N67" i="27"/>
  <c r="J34" i="28"/>
  <c r="G34" i="28"/>
  <c r="M68" i="27" l="1"/>
  <c r="L68" i="27"/>
  <c r="K68" i="27"/>
  <c r="I69" i="27"/>
  <c r="N68" i="27"/>
  <c r="J35" i="28"/>
  <c r="G35" i="28"/>
  <c r="L69" i="27" l="1"/>
  <c r="M69" i="27"/>
  <c r="K69" i="27"/>
  <c r="I70" i="27"/>
  <c r="N69" i="27"/>
  <c r="G115" i="28"/>
  <c r="J115" i="28"/>
  <c r="M70" i="27" l="1"/>
  <c r="L70" i="27"/>
  <c r="K70" i="27"/>
  <c r="I71" i="27"/>
  <c r="N70" i="27"/>
  <c r="G36" i="28"/>
  <c r="J36" i="28"/>
  <c r="L71" i="27" l="1"/>
  <c r="M71" i="27"/>
  <c r="K71" i="27"/>
  <c r="N71" i="27"/>
  <c r="I72" i="27"/>
  <c r="J37" i="28"/>
  <c r="G37" i="28"/>
  <c r="M72" i="27" l="1"/>
  <c r="L72" i="27"/>
  <c r="K72" i="27"/>
  <c r="I73" i="27"/>
  <c r="N72" i="27"/>
  <c r="G38" i="28"/>
  <c r="J38" i="28"/>
  <c r="M73" i="27" l="1"/>
  <c r="L73" i="27"/>
  <c r="K73" i="27"/>
  <c r="I74" i="27"/>
  <c r="N73" i="27"/>
  <c r="J39" i="28"/>
  <c r="G39" i="28"/>
  <c r="M74" i="27" l="1"/>
  <c r="L74" i="27"/>
  <c r="K74" i="27"/>
  <c r="I75" i="27"/>
  <c r="N74" i="27"/>
  <c r="J40" i="28"/>
  <c r="G40" i="28"/>
  <c r="M75" i="27" l="1"/>
  <c r="L75" i="27"/>
  <c r="K75" i="27"/>
  <c r="I76" i="27"/>
  <c r="N75" i="27"/>
  <c r="G41" i="28"/>
  <c r="J41" i="28"/>
  <c r="M76" i="27" l="1"/>
  <c r="L76" i="27"/>
  <c r="K76" i="27"/>
  <c r="I77" i="27"/>
  <c r="N76" i="27"/>
  <c r="J116" i="28"/>
  <c r="G116" i="28"/>
  <c r="M77" i="27" l="1"/>
  <c r="L77" i="27"/>
  <c r="K77" i="27"/>
  <c r="I78" i="27"/>
  <c r="N77" i="27"/>
  <c r="G42" i="28"/>
  <c r="J42" i="28"/>
  <c r="M78" i="27" l="1"/>
  <c r="L78" i="27"/>
  <c r="K78" i="27"/>
  <c r="N78" i="27"/>
  <c r="I79" i="27"/>
  <c r="G43" i="28"/>
  <c r="J43" i="28"/>
  <c r="M79" i="27" l="1"/>
  <c r="L79" i="27"/>
  <c r="K79" i="27"/>
  <c r="I80" i="27"/>
  <c r="N79" i="27"/>
  <c r="G44" i="28"/>
  <c r="J44" i="28"/>
  <c r="M80" i="27" l="1"/>
  <c r="L80" i="27"/>
  <c r="K80" i="27"/>
  <c r="I81" i="27"/>
  <c r="N80" i="27"/>
  <c r="G45" i="28"/>
  <c r="J45" i="28"/>
  <c r="M81" i="27" l="1"/>
  <c r="L81" i="27"/>
  <c r="K81" i="27"/>
  <c r="I82" i="27"/>
  <c r="N81" i="27"/>
  <c r="G46" i="28"/>
  <c r="J46" i="28"/>
  <c r="M82" i="27" l="1"/>
  <c r="L82" i="27"/>
  <c r="K82" i="27"/>
  <c r="I83" i="27"/>
  <c r="N82" i="27"/>
  <c r="G47" i="28"/>
  <c r="J47" i="28"/>
  <c r="M83" i="27" l="1"/>
  <c r="L83" i="27"/>
  <c r="K83" i="27"/>
  <c r="I84" i="27"/>
  <c r="N83" i="27"/>
  <c r="G117" i="28"/>
  <c r="J117" i="28"/>
  <c r="M84" i="27" l="1"/>
  <c r="L84" i="27"/>
  <c r="K84" i="27"/>
  <c r="I85" i="27"/>
  <c r="N84" i="27"/>
  <c r="G48" i="28"/>
  <c r="J48" i="28"/>
  <c r="M85" i="27" l="1"/>
  <c r="L85" i="27"/>
  <c r="K85" i="27"/>
  <c r="N85" i="27"/>
  <c r="I86" i="27"/>
  <c r="J49" i="28"/>
  <c r="G49" i="28"/>
  <c r="L86" i="27" l="1"/>
  <c r="K86" i="27"/>
  <c r="M86" i="27"/>
  <c r="I87" i="27"/>
  <c r="N86" i="27"/>
  <c r="G50" i="28"/>
  <c r="J50" i="28"/>
  <c r="M87" i="27" l="1"/>
  <c r="L87" i="27"/>
  <c r="K87" i="27"/>
  <c r="I88" i="27"/>
  <c r="N87" i="27"/>
  <c r="G51" i="28"/>
  <c r="J51" i="28"/>
  <c r="L88" i="27" l="1"/>
  <c r="M88" i="27"/>
  <c r="K88" i="27"/>
  <c r="I89" i="27"/>
  <c r="N88" i="27"/>
  <c r="J52" i="28"/>
  <c r="G52" i="28"/>
  <c r="M89" i="27" l="1"/>
  <c r="L89" i="27"/>
  <c r="K89" i="27"/>
  <c r="I90" i="27"/>
  <c r="N89" i="27"/>
  <c r="G53" i="28"/>
  <c r="J53" i="28"/>
  <c r="L90" i="27" l="1"/>
  <c r="M90" i="27"/>
  <c r="K90" i="27"/>
  <c r="I91" i="27"/>
  <c r="N90" i="27"/>
  <c r="J118" i="28"/>
  <c r="G118" i="28"/>
  <c r="M91" i="27" l="1"/>
  <c r="L91" i="27"/>
  <c r="K91" i="27"/>
  <c r="I92" i="27"/>
  <c r="N91" i="27"/>
  <c r="J54" i="28"/>
  <c r="G54" i="28"/>
  <c r="L92" i="27" l="1"/>
  <c r="M92" i="27"/>
  <c r="K92" i="27"/>
  <c r="N92" i="27"/>
  <c r="I93" i="27"/>
  <c r="J55" i="28"/>
  <c r="G55" i="28"/>
  <c r="M93" i="27" l="1"/>
  <c r="L93" i="27"/>
  <c r="K93" i="27"/>
  <c r="I94" i="27"/>
  <c r="N93" i="27"/>
  <c r="J56" i="28"/>
  <c r="G56" i="28"/>
  <c r="L94" i="27" l="1"/>
  <c r="M94" i="27"/>
  <c r="K94" i="27"/>
  <c r="I95" i="27"/>
  <c r="N94" i="27"/>
  <c r="J57" i="28"/>
  <c r="G57" i="28"/>
  <c r="M95" i="27" l="1"/>
  <c r="L95" i="27"/>
  <c r="K95" i="27"/>
  <c r="I96" i="27"/>
  <c r="N95" i="27"/>
  <c r="G58" i="28"/>
  <c r="J58" i="28"/>
  <c r="L96" i="27" l="1"/>
  <c r="M96" i="27"/>
  <c r="K96" i="27"/>
  <c r="I97" i="27"/>
  <c r="N96" i="27"/>
  <c r="J59" i="28"/>
  <c r="G59" i="28"/>
  <c r="M97" i="27" l="1"/>
  <c r="L97" i="27"/>
  <c r="K97" i="27"/>
  <c r="I98" i="27"/>
  <c r="N97" i="27"/>
  <c r="J119" i="28"/>
  <c r="G119" i="28"/>
  <c r="L98" i="27" l="1"/>
  <c r="M98" i="27"/>
  <c r="K98" i="27"/>
  <c r="I99" i="27"/>
  <c r="N98" i="27"/>
  <c r="J60" i="28"/>
  <c r="G60" i="28"/>
  <c r="M99" i="27" l="1"/>
  <c r="L99" i="27"/>
  <c r="K99" i="27"/>
  <c r="N99" i="27"/>
  <c r="I100" i="27"/>
  <c r="G61" i="28"/>
  <c r="J61" i="28"/>
  <c r="K100" i="27" l="1"/>
  <c r="M100" i="27"/>
  <c r="L100" i="27"/>
  <c r="I101" i="27"/>
  <c r="N100" i="27"/>
  <c r="G62" i="28"/>
  <c r="J62" i="28"/>
  <c r="M101" i="27" l="1"/>
  <c r="L101" i="27"/>
  <c r="K101" i="27"/>
  <c r="I102" i="27"/>
  <c r="N101" i="27"/>
  <c r="G63" i="28"/>
  <c r="J63" i="28"/>
  <c r="M102" i="27" l="1"/>
  <c r="L102" i="27"/>
  <c r="K102" i="27"/>
  <c r="I103" i="27"/>
  <c r="N102" i="27"/>
  <c r="J64" i="28"/>
  <c r="G64" i="28"/>
  <c r="M103" i="27" l="1"/>
  <c r="L103" i="27"/>
  <c r="K103" i="27"/>
  <c r="I104" i="27"/>
  <c r="N103" i="27"/>
  <c r="J65" i="28"/>
  <c r="G65" i="28"/>
  <c r="M104" i="27" l="1"/>
  <c r="L104" i="27"/>
  <c r="K104" i="27"/>
  <c r="I105" i="27"/>
  <c r="N104" i="27"/>
  <c r="G120" i="28"/>
  <c r="J120" i="28"/>
  <c r="M105" i="27" l="1"/>
  <c r="L105" i="27"/>
  <c r="K105" i="27"/>
  <c r="I106" i="27"/>
  <c r="N105" i="27"/>
  <c r="G66" i="28"/>
  <c r="J66" i="28"/>
  <c r="M106" i="27" l="1"/>
  <c r="L106" i="27"/>
  <c r="K106" i="27"/>
  <c r="N106" i="27"/>
  <c r="I107" i="27"/>
  <c r="G67" i="28"/>
  <c r="J67" i="28"/>
  <c r="M107" i="27" l="1"/>
  <c r="L107" i="27"/>
  <c r="K107" i="27"/>
  <c r="I108" i="27"/>
  <c r="N107" i="27"/>
  <c r="J68" i="28"/>
  <c r="G68" i="28"/>
  <c r="M108" i="27" l="1"/>
  <c r="L108" i="27"/>
  <c r="K108" i="27"/>
  <c r="I109" i="27"/>
  <c r="N108" i="27"/>
  <c r="J69" i="28"/>
  <c r="G69" i="28"/>
  <c r="M109" i="27" l="1"/>
  <c r="L109" i="27"/>
  <c r="K109" i="27"/>
  <c r="I110" i="27"/>
  <c r="N109" i="27"/>
  <c r="G70" i="28"/>
  <c r="J70" i="28"/>
  <c r="M110" i="27" l="1"/>
  <c r="L110" i="27"/>
  <c r="K110" i="27"/>
  <c r="I111" i="27"/>
  <c r="N110" i="27"/>
  <c r="J71" i="28"/>
  <c r="G71" i="28"/>
  <c r="M111" i="27" l="1"/>
  <c r="L111" i="27"/>
  <c r="K111" i="27"/>
  <c r="I112" i="27"/>
  <c r="N111" i="27"/>
  <c r="G20" i="28"/>
  <c r="J20" i="28"/>
  <c r="M112" i="27" l="1"/>
  <c r="L112" i="27"/>
  <c r="K112" i="27"/>
  <c r="I113" i="27"/>
  <c r="N112" i="27"/>
  <c r="G2" i="28"/>
  <c r="J2" i="28"/>
  <c r="M113" i="27" l="1"/>
  <c r="L113" i="27"/>
  <c r="K113" i="27"/>
  <c r="N113" i="27"/>
  <c r="I114" i="27"/>
  <c r="J3" i="28"/>
  <c r="G3" i="28"/>
  <c r="M114" i="27" l="1"/>
  <c r="L114" i="27"/>
  <c r="K114" i="27"/>
  <c r="I115" i="27"/>
  <c r="N114" i="27"/>
  <c r="J4" i="28"/>
  <c r="G4" i="28"/>
  <c r="L115" i="27" l="1"/>
  <c r="M115" i="27"/>
  <c r="K115" i="27"/>
  <c r="I116" i="27"/>
  <c r="N115" i="27"/>
  <c r="J5" i="28"/>
  <c r="G5" i="28"/>
  <c r="M116" i="27" l="1"/>
  <c r="L116" i="27"/>
  <c r="K116" i="27"/>
  <c r="I117" i="27"/>
  <c r="N116" i="27"/>
  <c r="G6" i="28"/>
  <c r="J6" i="28"/>
  <c r="L117" i="27" l="1"/>
  <c r="M117" i="27"/>
  <c r="K117" i="27"/>
  <c r="I118" i="27"/>
  <c r="N117" i="27"/>
  <c r="J7" i="28"/>
  <c r="G7" i="28"/>
  <c r="M118" i="27" l="1"/>
  <c r="L118" i="27"/>
  <c r="K118" i="27"/>
  <c r="I119" i="27"/>
  <c r="N118" i="27"/>
  <c r="G21" i="28"/>
  <c r="J21" i="28"/>
  <c r="L119" i="27" l="1"/>
  <c r="M119" i="27"/>
  <c r="K119" i="27"/>
  <c r="I120" i="27"/>
  <c r="N119" i="27"/>
  <c r="G8" i="28"/>
  <c r="J8" i="28"/>
  <c r="M120" i="27" l="1"/>
  <c r="L120" i="27"/>
  <c r="K120" i="27"/>
  <c r="N120" i="27"/>
  <c r="I121" i="27"/>
  <c r="J9" i="28"/>
  <c r="G9" i="28"/>
  <c r="L121" i="27" l="1"/>
  <c r="M121" i="27"/>
  <c r="K121" i="27"/>
  <c r="I122" i="27"/>
  <c r="N121" i="27"/>
  <c r="G10" i="28"/>
  <c r="J10" i="28"/>
  <c r="M122" i="27" l="1"/>
  <c r="L122" i="27"/>
  <c r="K122" i="27"/>
  <c r="I123" i="27"/>
  <c r="N122" i="27"/>
  <c r="G11" i="28"/>
  <c r="J11" i="28"/>
  <c r="L123" i="27" l="1"/>
  <c r="M123" i="27"/>
  <c r="K123" i="27"/>
  <c r="I124" i="27"/>
  <c r="N123" i="27"/>
  <c r="J12" i="28"/>
  <c r="G12" i="28"/>
  <c r="M124" i="27" l="1"/>
  <c r="L124" i="27"/>
  <c r="K124" i="27"/>
  <c r="I125" i="27"/>
  <c r="N124" i="27"/>
  <c r="J13" i="28"/>
  <c r="G13" i="28"/>
  <c r="L125" i="27" l="1"/>
  <c r="M125" i="27"/>
  <c r="K125" i="27"/>
  <c r="I126" i="27"/>
  <c r="N125" i="27"/>
  <c r="G22" i="28"/>
  <c r="J22" i="28"/>
  <c r="M126" i="27" l="1"/>
  <c r="L126" i="27"/>
  <c r="K126" i="27"/>
  <c r="I127" i="27"/>
  <c r="N126" i="27"/>
  <c r="J17" i="28"/>
  <c r="L127" i="27" l="1"/>
  <c r="M127" i="27"/>
  <c r="K127" i="27"/>
  <c r="I128" i="27"/>
  <c r="N127" i="27"/>
  <c r="J19" i="28"/>
  <c r="G19" i="28"/>
  <c r="M128" i="27" l="1"/>
  <c r="L128" i="27"/>
  <c r="K128" i="27"/>
  <c r="I129" i="27"/>
  <c r="N128" i="27"/>
  <c r="J18" i="28"/>
  <c r="G18" i="28"/>
  <c r="M129" i="27" l="1"/>
  <c r="L129" i="27"/>
  <c r="K129" i="27"/>
  <c r="I130" i="27"/>
  <c r="N129" i="27"/>
  <c r="G14" i="28"/>
  <c r="J14" i="28"/>
  <c r="M130" i="27" l="1"/>
  <c r="L130" i="27"/>
  <c r="K130" i="27"/>
  <c r="I131" i="27"/>
  <c r="N130" i="27"/>
  <c r="G15" i="28"/>
  <c r="J15" i="28"/>
  <c r="M131" i="27" l="1"/>
  <c r="L131" i="27"/>
  <c r="K131" i="27"/>
  <c r="I132" i="27"/>
  <c r="N131" i="27"/>
  <c r="J16" i="28"/>
  <c r="G16" i="28"/>
  <c r="M132" i="27" l="1"/>
  <c r="L132" i="27"/>
  <c r="K132" i="27"/>
  <c r="I133" i="27"/>
  <c r="N132" i="27"/>
  <c r="J121" i="28"/>
  <c r="G121" i="28"/>
  <c r="M133" i="27" l="1"/>
  <c r="L133" i="27"/>
  <c r="K133" i="27"/>
  <c r="I134" i="27"/>
  <c r="N133" i="27"/>
  <c r="J72" i="28"/>
  <c r="G72" i="28"/>
  <c r="M134" i="27" l="1"/>
  <c r="L134" i="27"/>
  <c r="K134" i="27"/>
  <c r="I135" i="27"/>
  <c r="N134" i="27"/>
  <c r="G73" i="28"/>
  <c r="J73" i="28"/>
  <c r="M135" i="27" l="1"/>
  <c r="L135" i="27"/>
  <c r="K135" i="27"/>
  <c r="I136" i="27"/>
  <c r="N135" i="27"/>
  <c r="G74" i="28"/>
  <c r="J74" i="28"/>
  <c r="M136" i="27" l="1"/>
  <c r="L136" i="27"/>
  <c r="K136" i="27"/>
  <c r="I137" i="27"/>
  <c r="N136" i="27"/>
  <c r="J75" i="28"/>
  <c r="G75" i="28"/>
  <c r="M137" i="27" l="1"/>
  <c r="L137" i="27"/>
  <c r="K137" i="27"/>
  <c r="I138" i="27"/>
  <c r="N137" i="27"/>
  <c r="G76" i="28"/>
  <c r="J76" i="28"/>
  <c r="M138" i="27" l="1"/>
  <c r="L138" i="27"/>
  <c r="K138" i="27"/>
  <c r="I139" i="27"/>
  <c r="N138" i="27"/>
  <c r="J77" i="28"/>
  <c r="G77" i="28"/>
  <c r="M139" i="27" l="1"/>
  <c r="L139" i="27"/>
  <c r="K139" i="27"/>
  <c r="I140" i="27"/>
  <c r="N139" i="27"/>
  <c r="G122" i="28"/>
  <c r="J122" i="28"/>
  <c r="M140" i="27" l="1"/>
  <c r="L140" i="27"/>
  <c r="K140" i="27"/>
  <c r="I141" i="27"/>
  <c r="N140" i="27"/>
  <c r="G78" i="28"/>
  <c r="J78" i="28"/>
  <c r="M141" i="27" l="1"/>
  <c r="L141" i="27"/>
  <c r="K141" i="27"/>
  <c r="N141" i="27"/>
  <c r="J79" i="28"/>
  <c r="G79" i="28"/>
  <c r="G80" i="28" l="1"/>
  <c r="J80" i="28"/>
  <c r="J81" i="28" l="1"/>
  <c r="G81" i="28"/>
  <c r="G82" i="28" l="1"/>
  <c r="J82" i="28"/>
  <c r="J83" i="28" l="1"/>
  <c r="G83" i="28"/>
  <c r="G123" i="28" l="1"/>
  <c r="J123" i="28"/>
  <c r="J84" i="28" l="1"/>
  <c r="G84" i="28"/>
  <c r="G85" i="28" l="1"/>
  <c r="J85" i="28"/>
  <c r="J86" i="28" l="1"/>
  <c r="G86" i="28"/>
  <c r="G87" i="28" l="1"/>
  <c r="J87" i="28"/>
  <c r="G88" i="28" l="1"/>
  <c r="J88" i="28"/>
  <c r="J89" i="28" l="1"/>
  <c r="G89" i="28"/>
  <c r="G124" i="28" l="1"/>
  <c r="J124" i="28"/>
  <c r="G90" i="28" l="1"/>
  <c r="J90" i="28"/>
  <c r="J91" i="28" l="1"/>
  <c r="G91" i="28"/>
  <c r="G92" i="28" l="1"/>
  <c r="J92" i="28"/>
  <c r="J93" i="28" l="1"/>
  <c r="G93" i="28"/>
  <c r="J94" i="28" l="1"/>
  <c r="G94" i="28"/>
  <c r="J95" i="28" l="1"/>
  <c r="G95" i="28"/>
  <c r="J125" i="28" l="1"/>
  <c r="G125" i="28"/>
  <c r="G96" i="28" l="1"/>
  <c r="J96" i="28"/>
  <c r="J97" i="28" l="1"/>
  <c r="G97" i="28"/>
  <c r="J98" i="28" l="1"/>
  <c r="G98" i="28"/>
  <c r="J99" i="28" l="1"/>
  <c r="G99" i="28"/>
  <c r="J100" i="28" l="1"/>
  <c r="G100" i="28"/>
  <c r="J101" i="28" l="1"/>
  <c r="G101" i="28"/>
  <c r="J126" i="28" l="1"/>
  <c r="G126" i="28"/>
  <c r="J102" i="28" l="1"/>
  <c r="G102" i="28"/>
  <c r="J103" i="28" l="1"/>
  <c r="G103" i="28"/>
  <c r="G104" i="28" l="1"/>
  <c r="J104" i="28"/>
  <c r="G105" i="28" l="1"/>
  <c r="J105" i="28"/>
  <c r="J106" i="28" l="1"/>
  <c r="G106" i="28"/>
  <c r="J107" i="28" l="1"/>
  <c r="G107" i="28"/>
  <c r="J127" i="28" l="1"/>
  <c r="G127" i="28"/>
  <c r="G108" i="28" l="1"/>
  <c r="J108" i="28"/>
  <c r="G109" i="28" l="1"/>
  <c r="J109" i="28"/>
  <c r="G110" i="28" l="1"/>
  <c r="J110" i="28"/>
  <c r="G111" i="28" l="1"/>
  <c r="J111" i="28"/>
  <c r="G112" i="28" l="1"/>
  <c r="J112" i="28"/>
  <c r="G113" i="28" l="1"/>
  <c r="J113" i="28"/>
</calcChain>
</file>

<file path=xl/sharedStrings.xml><?xml version="1.0" encoding="utf-8"?>
<sst xmlns="http://schemas.openxmlformats.org/spreadsheetml/2006/main" count="1934" uniqueCount="413">
  <si>
    <t>Termo de Abertura de Projeto</t>
  </si>
  <si>
    <t>Dados do Projeto</t>
  </si>
  <si>
    <t>Título do Projeto:</t>
  </si>
  <si>
    <t>&lt;inserir título atribuído ao projeto&gt;</t>
  </si>
  <si>
    <t>Código do Projeto:</t>
  </si>
  <si>
    <t>&lt;Nome curto / apelido / código do projeto &gt;</t>
  </si>
  <si>
    <t>Alinhamento estratégico (PO):</t>
  </si>
  <si>
    <t>Diretoria:</t>
  </si>
  <si>
    <t>Coordenação:</t>
  </si>
  <si>
    <t>Patrocinador:</t>
  </si>
  <si>
    <t>&lt;dirigente que endossa o projeto, garantindo os recursos necessários para sua execução &gt;</t>
  </si>
  <si>
    <t>Gerente do Projeto:</t>
  </si>
  <si>
    <t>&lt; servidor com a responsabilidade de planejar e controlar a execução do projeto &gt;</t>
  </si>
  <si>
    <t>Data de início:</t>
  </si>
  <si>
    <t>Data de término prevista:</t>
  </si>
  <si>
    <t>Equipe do Projeto</t>
  </si>
  <si>
    <t>Fulano da Silva</t>
  </si>
  <si>
    <t>fulano.silva@cgu.gov.br</t>
  </si>
  <si>
    <t>9999-9999</t>
  </si>
  <si>
    <t>Informações técnicas do Projeto</t>
  </si>
  <si>
    <t>Justificativa do projeto</t>
  </si>
  <si>
    <t>&lt;exposição dos motivos para a utilização do projeto, relacionando suas entregas ao contexto apresentado, pautando-se no problema, na oportunidade e no objetivo institucional estratégico e na ação estratégica ao qual o projeto está alinhado mais fortemente&gt;</t>
  </si>
  <si>
    <t>Objeto do projeto:
(o que será feito?)</t>
  </si>
  <si>
    <t>&lt; descrição do trabalho que será feito no projeto&gt;</t>
  </si>
  <si>
    <t>Objetivo do projeto:
(para que será feito?)</t>
  </si>
  <si>
    <t>&lt;descrição dos resultados esperados pelo projeto.&gt;</t>
  </si>
  <si>
    <t>Escopo resumido:
(principais entregas?)</t>
  </si>
  <si>
    <t>&lt;principais entregas do projeto. Prazos devem ser indicados na tabela própria.&gt;</t>
  </si>
  <si>
    <t>Não-Escopo:
(0 que não será feito?)</t>
  </si>
  <si>
    <t>&lt;trabalho que não será feito&gt;</t>
  </si>
  <si>
    <t>Premissas</t>
  </si>
  <si>
    <t>&lt;fatores associados ao escopo, que para o planejamento são considerados como verdadeiros, assumidos no projeto&gt;</t>
  </si>
  <si>
    <t>Restrições</t>
  </si>
  <si>
    <t>&lt;fatores internos e externos associados ao escopo que limitam as opções da equipe de gerenciamento de projetos&gt;</t>
  </si>
  <si>
    <t>Riscos preliminares</t>
  </si>
  <si>
    <t>&lt;Riscos são eventos ou incertezas que podem ocorrer durante o projeto e causar impacto negativo ou positivo. Deve incluir os riscos que se concretizaram em projetos similares anteriores.&gt;</t>
  </si>
  <si>
    <t>Fases do Projeto</t>
  </si>
  <si>
    <t>Fase</t>
  </si>
  <si>
    <t>Entrega</t>
  </si>
  <si>
    <t>Data início Prevista</t>
  </si>
  <si>
    <t>Data Final Prevista</t>
  </si>
  <si>
    <t>Assinaturas</t>
  </si>
  <si>
    <t>Gerente do Projeto</t>
  </si>
  <si>
    <t>Dirigente da Unidade</t>
  </si>
  <si>
    <t>Patrocinador</t>
  </si>
  <si>
    <t>DS1</t>
  </si>
  <si>
    <t>Unidade</t>
  </si>
  <si>
    <t>Subunidade</t>
  </si>
  <si>
    <t>Projeto</t>
  </si>
  <si>
    <t>Gerente</t>
  </si>
  <si>
    <t>Inicio</t>
  </si>
  <si>
    <t>Fim</t>
  </si>
  <si>
    <t>Eq1</t>
  </si>
  <si>
    <t>Eq2</t>
  </si>
  <si>
    <t>Eq3</t>
  </si>
  <si>
    <t>Eq4</t>
  </si>
  <si>
    <t>Eq5</t>
  </si>
  <si>
    <t>Eq6</t>
  </si>
  <si>
    <t>Eq7</t>
  </si>
  <si>
    <t>Processo:</t>
  </si>
  <si>
    <t>00190.102150/2019-85</t>
  </si>
  <si>
    <t>Processo</t>
  </si>
  <si>
    <t>Entregas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</si>
  <si>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</si>
  <si>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</si>
  <si>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</si>
  <si>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</si>
  <si>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</si>
  <si>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</si>
  <si>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</si>
  <si>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</si>
  <si>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</si>
  <si>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Planejamento Inicial - TAP</t>
  </si>
  <si>
    <t>Levantamento Inicial - Matriz de Planejamento</t>
  </si>
  <si>
    <t>Definição de papéis de trabalho</t>
  </si>
  <si>
    <t>Procedimentos</t>
  </si>
  <si>
    <t>Análises internas</t>
  </si>
  <si>
    <t>Matriz de achados</t>
  </si>
  <si>
    <t>Relatório preliminar</t>
  </si>
  <si>
    <t>Reunião de busca com gestor</t>
  </si>
  <si>
    <t>Relatório final</t>
  </si>
  <si>
    <t>Minuta do relatório final</t>
  </si>
  <si>
    <t>E10</t>
  </si>
  <si>
    <t>IN1</t>
  </si>
  <si>
    <t>F1</t>
  </si>
  <si>
    <t>IN2</t>
  </si>
  <si>
    <t>F2</t>
  </si>
  <si>
    <t>IN3</t>
  </si>
  <si>
    <t>F3</t>
  </si>
  <si>
    <t>IN4</t>
  </si>
  <si>
    <t>F4</t>
  </si>
  <si>
    <t>IN5</t>
  </si>
  <si>
    <t>F5</t>
  </si>
  <si>
    <t>IN6</t>
  </si>
  <si>
    <t>F6</t>
  </si>
  <si>
    <t>IN7</t>
  </si>
  <si>
    <t>F7</t>
  </si>
  <si>
    <t>IN8</t>
  </si>
  <si>
    <t>F8</t>
  </si>
  <si>
    <t>IN9</t>
  </si>
  <si>
    <t>F9</t>
  </si>
  <si>
    <t>IN10</t>
  </si>
  <si>
    <t>F10</t>
  </si>
  <si>
    <t>#102070</t>
  </si>
  <si>
    <t>Avaliação das governanças em políticas sociais do sistema prisional, existentes nos Estados e no Distrito Federal, por meio da abordagem dos arranjos institucionais de implementação.</t>
  </si>
  <si>
    <t>&lt;indicar iniciativas do PO que o projeto contribui &gt;</t>
  </si>
  <si>
    <t>PO1</t>
  </si>
  <si>
    <t>PO2</t>
  </si>
  <si>
    <t>PO3</t>
  </si>
  <si>
    <t>PO4</t>
  </si>
  <si>
    <t>PO5</t>
  </si>
  <si>
    <t>CGEBC</t>
  </si>
  <si>
    <t>Processo x</t>
  </si>
  <si>
    <t>teste</t>
  </si>
  <si>
    <t>5.4</t>
  </si>
  <si>
    <t>6.3</t>
  </si>
  <si>
    <t>Status</t>
  </si>
  <si>
    <t>Produto</t>
  </si>
  <si>
    <t>Data Repactuada</t>
  </si>
  <si>
    <t>Motivo Repactuação</t>
  </si>
  <si>
    <t>Data Fim Real da Fase</t>
  </si>
  <si>
    <t>Atraso</t>
  </si>
  <si>
    <t>Iniciada</t>
  </si>
  <si>
    <t>Concluída</t>
  </si>
  <si>
    <t>Cancelada</t>
  </si>
  <si>
    <t>Coluna1</t>
  </si>
  <si>
    <t>éhoje</t>
  </si>
  <si>
    <t>Já iniciada</t>
  </si>
  <si>
    <t>atraso inicio</t>
  </si>
  <si>
    <t>atraso FIM</t>
  </si>
  <si>
    <t>Repact</t>
  </si>
  <si>
    <t>Concluido</t>
  </si>
  <si>
    <t>inic1</t>
  </si>
  <si>
    <t>inic2</t>
  </si>
  <si>
    <t>Conc1</t>
  </si>
  <si>
    <t>Canc1</t>
  </si>
  <si>
    <t>Projeto 1</t>
  </si>
  <si>
    <t>Data Fim Prevista</t>
  </si>
  <si>
    <t>Data Início</t>
  </si>
  <si>
    <t>Data Início Prevista</t>
  </si>
  <si>
    <t>Data fim</t>
  </si>
  <si>
    <t>Projeto 2</t>
  </si>
  <si>
    <t>Projeto 3</t>
  </si>
  <si>
    <t>Projeto 4</t>
  </si>
  <si>
    <t>Projeto 5</t>
  </si>
  <si>
    <t>Projeto 6</t>
  </si>
  <si>
    <t>Projeto 7</t>
  </si>
  <si>
    <t>Projeto 8</t>
  </si>
  <si>
    <t>Projeto 9</t>
  </si>
  <si>
    <t>Projeto 10</t>
  </si>
  <si>
    <t>Controle</t>
  </si>
  <si>
    <t>Projeto 11</t>
  </si>
  <si>
    <t>Projeto 12</t>
  </si>
  <si>
    <t>Projeto 13</t>
  </si>
  <si>
    <t>Projeto 14</t>
  </si>
  <si>
    <t>Projeto 15</t>
  </si>
  <si>
    <t>Projeto 16</t>
  </si>
  <si>
    <t>Projeto 17</t>
  </si>
  <si>
    <t>Projeto 18</t>
  </si>
  <si>
    <t>Projeto 19</t>
  </si>
  <si>
    <t>Projeto 20</t>
  </si>
  <si>
    <t>conc2</t>
  </si>
  <si>
    <t>canc2</t>
  </si>
  <si>
    <t>inic3</t>
  </si>
  <si>
    <t>conc3</t>
  </si>
  <si>
    <t>canc3</t>
  </si>
  <si>
    <t>inic4</t>
  </si>
  <si>
    <t>canc4</t>
  </si>
  <si>
    <t>conc4</t>
  </si>
  <si>
    <t>inic5</t>
  </si>
  <si>
    <t>conc5</t>
  </si>
  <si>
    <t>canc5</t>
  </si>
  <si>
    <t>inic6</t>
  </si>
  <si>
    <t>conc6</t>
  </si>
  <si>
    <t>canc6</t>
  </si>
  <si>
    <t>inic7</t>
  </si>
  <si>
    <t>conc7</t>
  </si>
  <si>
    <t>canc7</t>
  </si>
  <si>
    <t>inic8</t>
  </si>
  <si>
    <t>conc8</t>
  </si>
  <si>
    <t>canc8</t>
  </si>
  <si>
    <t>inic9</t>
  </si>
  <si>
    <t>conc9</t>
  </si>
  <si>
    <t>canc9</t>
  </si>
  <si>
    <t>inic10</t>
  </si>
  <si>
    <t>conc10</t>
  </si>
  <si>
    <t>canc10</t>
  </si>
  <si>
    <t>Eq1pac</t>
  </si>
  <si>
    <t>Eq2Pac</t>
  </si>
  <si>
    <t>Eq3Pac</t>
  </si>
  <si>
    <t>Eq4Pac</t>
  </si>
  <si>
    <t>Eq5Pac</t>
  </si>
  <si>
    <t>Eq6Pac</t>
  </si>
  <si>
    <t>Eq7Pac</t>
  </si>
  <si>
    <t>Pacto PGD</t>
  </si>
  <si>
    <t>k</t>
  </si>
  <si>
    <t>Repac1</t>
  </si>
  <si>
    <t>Status1</t>
  </si>
  <si>
    <t>FR1</t>
  </si>
  <si>
    <t>Atr1</t>
  </si>
  <si>
    <t>P1</t>
  </si>
  <si>
    <t>Repac2</t>
  </si>
  <si>
    <t>Status2</t>
  </si>
  <si>
    <t>FR2</t>
  </si>
  <si>
    <t>Atr2</t>
  </si>
  <si>
    <t>P2</t>
  </si>
  <si>
    <t>Repac3</t>
  </si>
  <si>
    <t>Status3</t>
  </si>
  <si>
    <t>FR3</t>
  </si>
  <si>
    <t>Atr3</t>
  </si>
  <si>
    <t>P3</t>
  </si>
  <si>
    <t>Repac4</t>
  </si>
  <si>
    <t>Status4</t>
  </si>
  <si>
    <t>FR4</t>
  </si>
  <si>
    <t>Atr4</t>
  </si>
  <si>
    <t>P4</t>
  </si>
  <si>
    <t>Repac5</t>
  </si>
  <si>
    <t>Status5</t>
  </si>
  <si>
    <t>FR5</t>
  </si>
  <si>
    <t>Atr5</t>
  </si>
  <si>
    <t>P5</t>
  </si>
  <si>
    <t>Repac6</t>
  </si>
  <si>
    <t>Status6</t>
  </si>
  <si>
    <t>FR6</t>
  </si>
  <si>
    <t>Atr6</t>
  </si>
  <si>
    <t>P6</t>
  </si>
  <si>
    <t>Repac7</t>
  </si>
  <si>
    <t>Status7</t>
  </si>
  <si>
    <t>FR7</t>
  </si>
  <si>
    <t>Atr7</t>
  </si>
  <si>
    <t>P7</t>
  </si>
  <si>
    <t>Repac8</t>
  </si>
  <si>
    <t>Status8</t>
  </si>
  <si>
    <t>FR8</t>
  </si>
  <si>
    <t>Atr8</t>
  </si>
  <si>
    <t>P8</t>
  </si>
  <si>
    <t>Repac9</t>
  </si>
  <si>
    <t>Status9</t>
  </si>
  <si>
    <t>FR9</t>
  </si>
  <si>
    <t>Atr9</t>
  </si>
  <si>
    <t>P9</t>
  </si>
  <si>
    <t>Repac10</t>
  </si>
  <si>
    <t>Status10</t>
  </si>
  <si>
    <t>FR10</t>
  </si>
  <si>
    <t>Atr10</t>
  </si>
  <si>
    <t>P10</t>
  </si>
  <si>
    <t>tap</t>
  </si>
  <si>
    <t>MONITORAMENTO DOS PROJETOS</t>
  </si>
  <si>
    <t>f</t>
  </si>
  <si>
    <t>j</t>
  </si>
  <si>
    <t>ciclano</t>
  </si>
  <si>
    <t>zé</t>
  </si>
  <si>
    <t>carro</t>
  </si>
  <si>
    <t>bola</t>
  </si>
  <si>
    <t>mané</t>
  </si>
  <si>
    <t>P1E1</t>
  </si>
  <si>
    <t>P1E2</t>
  </si>
  <si>
    <t>P1E3</t>
  </si>
  <si>
    <t>P1E4</t>
  </si>
  <si>
    <t>P1E5</t>
  </si>
  <si>
    <t>P1E6</t>
  </si>
  <si>
    <t>P1E7</t>
  </si>
  <si>
    <t>P2E1</t>
  </si>
  <si>
    <t>P2E2</t>
  </si>
  <si>
    <t>P2E3</t>
  </si>
  <si>
    <t>P2E4</t>
  </si>
  <si>
    <t>P2E5</t>
  </si>
  <si>
    <t>P2E6</t>
  </si>
  <si>
    <t>P2E7</t>
  </si>
  <si>
    <t>P3E1</t>
  </si>
  <si>
    <t>P3E2</t>
  </si>
  <si>
    <t>P3E3</t>
  </si>
  <si>
    <t>P3E4</t>
  </si>
  <si>
    <t>P3E5</t>
  </si>
  <si>
    <t>P3E6</t>
  </si>
  <si>
    <t>P3E7</t>
  </si>
  <si>
    <t>P4E1</t>
  </si>
  <si>
    <t>P4E2</t>
  </si>
  <si>
    <t>P4E3</t>
  </si>
  <si>
    <t>P4E4</t>
  </si>
  <si>
    <t>P4E5</t>
  </si>
  <si>
    <t>P4E6</t>
  </si>
  <si>
    <t>P4E7</t>
  </si>
  <si>
    <t>P5E1</t>
  </si>
  <si>
    <t>P5E2</t>
  </si>
  <si>
    <t>P5E3</t>
  </si>
  <si>
    <t>P5E4</t>
  </si>
  <si>
    <t>P5E5</t>
  </si>
  <si>
    <t>P5E6</t>
  </si>
  <si>
    <t>P5E7</t>
  </si>
  <si>
    <t>P6E1</t>
  </si>
  <si>
    <t>P6E2</t>
  </si>
  <si>
    <t>P6E3</t>
  </si>
  <si>
    <t>P6E4</t>
  </si>
  <si>
    <t>P6E5</t>
  </si>
  <si>
    <t>P6E6</t>
  </si>
  <si>
    <t>P6E7</t>
  </si>
  <si>
    <t>P7E1</t>
  </si>
  <si>
    <t>P7E2</t>
  </si>
  <si>
    <t>P7E3</t>
  </si>
  <si>
    <t>P7E4</t>
  </si>
  <si>
    <t>P7E5</t>
  </si>
  <si>
    <t>P7E6</t>
  </si>
  <si>
    <t>P7E7</t>
  </si>
  <si>
    <t>P8E1</t>
  </si>
  <si>
    <t>P8E2</t>
  </si>
  <si>
    <t>P8E3</t>
  </si>
  <si>
    <t>P8E4</t>
  </si>
  <si>
    <t>P8E5</t>
  </si>
  <si>
    <t>P8E6</t>
  </si>
  <si>
    <t>P8E7</t>
  </si>
  <si>
    <t>P9E1</t>
  </si>
  <si>
    <t>P9E2</t>
  </si>
  <si>
    <t>P9E3</t>
  </si>
  <si>
    <t>P9E4</t>
  </si>
  <si>
    <t>P9E5</t>
  </si>
  <si>
    <t>P9E6</t>
  </si>
  <si>
    <t>P9E7</t>
  </si>
  <si>
    <t>P10E1</t>
  </si>
  <si>
    <t>P10E2</t>
  </si>
  <si>
    <t>P10E3</t>
  </si>
  <si>
    <t>P10E4</t>
  </si>
  <si>
    <t>P10E5</t>
  </si>
  <si>
    <t>P10E6</t>
  </si>
  <si>
    <t>P10E7</t>
  </si>
  <si>
    <t>P11E1</t>
  </si>
  <si>
    <t>P11E2</t>
  </si>
  <si>
    <t>P11E3</t>
  </si>
  <si>
    <t>P11E4</t>
  </si>
  <si>
    <t>P11E5</t>
  </si>
  <si>
    <t>P11E6</t>
  </si>
  <si>
    <t>P11E7</t>
  </si>
  <si>
    <t>P12E1</t>
  </si>
  <si>
    <t>P12E2</t>
  </si>
  <si>
    <t>P12E3</t>
  </si>
  <si>
    <t>P12E4</t>
  </si>
  <si>
    <t>P12E5</t>
  </si>
  <si>
    <t>P12E6</t>
  </si>
  <si>
    <t>P12E7</t>
  </si>
  <si>
    <t>P13E1</t>
  </si>
  <si>
    <t>P13E2</t>
  </si>
  <si>
    <t>P13E3</t>
  </si>
  <si>
    <t>P13E4</t>
  </si>
  <si>
    <t>P13E5</t>
  </si>
  <si>
    <t>P13E6</t>
  </si>
  <si>
    <t>P13E7</t>
  </si>
  <si>
    <t>P14E1</t>
  </si>
  <si>
    <t>P14E2</t>
  </si>
  <si>
    <t>P14E3</t>
  </si>
  <si>
    <t>P14E4</t>
  </si>
  <si>
    <t>P14E5</t>
  </si>
  <si>
    <t>P14E6</t>
  </si>
  <si>
    <t>P14E7</t>
  </si>
  <si>
    <t>P15E1</t>
  </si>
  <si>
    <t>P15E2</t>
  </si>
  <si>
    <t>P15E3</t>
  </si>
  <si>
    <t>P15E4</t>
  </si>
  <si>
    <t>P15E5</t>
  </si>
  <si>
    <t>P15E6</t>
  </si>
  <si>
    <t>P15E7</t>
  </si>
  <si>
    <t>P16E1</t>
  </si>
  <si>
    <t>P16E2</t>
  </si>
  <si>
    <t>P16E3</t>
  </si>
  <si>
    <t>P16E4</t>
  </si>
  <si>
    <t>P16E5</t>
  </si>
  <si>
    <t>P16E6</t>
  </si>
  <si>
    <t>P16E7</t>
  </si>
  <si>
    <t>P17E1</t>
  </si>
  <si>
    <t>P17E2</t>
  </si>
  <si>
    <t>P17E3</t>
  </si>
  <si>
    <t>P17E4</t>
  </si>
  <si>
    <t>P17E5</t>
  </si>
  <si>
    <t>P17E6</t>
  </si>
  <si>
    <t>P17E7</t>
  </si>
  <si>
    <t>P18E1</t>
  </si>
  <si>
    <t>P18E2</t>
  </si>
  <si>
    <t>P18E3</t>
  </si>
  <si>
    <t>P18E4</t>
  </si>
  <si>
    <t>P18E5</t>
  </si>
  <si>
    <t>P18E6</t>
  </si>
  <si>
    <t>P18E7</t>
  </si>
  <si>
    <t>P19E1</t>
  </si>
  <si>
    <t>P19E2</t>
  </si>
  <si>
    <t>P19E3</t>
  </si>
  <si>
    <t>P19E4</t>
  </si>
  <si>
    <t>P19E5</t>
  </si>
  <si>
    <t>P19E6</t>
  </si>
  <si>
    <t>P19E7</t>
  </si>
  <si>
    <t>P20E1</t>
  </si>
  <si>
    <t>P20E2</t>
  </si>
  <si>
    <t>P20E3</t>
  </si>
  <si>
    <t>P20E4</t>
  </si>
  <si>
    <t>P20E5</t>
  </si>
  <si>
    <t>P20E6</t>
  </si>
  <si>
    <t>P20E7</t>
  </si>
  <si>
    <t>Proj/Eq</t>
  </si>
  <si>
    <t>Servidor</t>
  </si>
  <si>
    <t>Linha</t>
  </si>
  <si>
    <t>Coluna</t>
  </si>
  <si>
    <t>servidor</t>
  </si>
  <si>
    <t>data in</t>
  </si>
  <si>
    <t>data fim</t>
  </si>
  <si>
    <t>pacto</t>
  </si>
  <si>
    <t>DTI</t>
  </si>
  <si>
    <t>CGSIS</t>
  </si>
  <si>
    <t>Membro</t>
  </si>
  <si>
    <t>Projeto2</t>
  </si>
  <si>
    <t>Início do Projeto</t>
  </si>
  <si>
    <t>Fim do Projeto</t>
  </si>
  <si>
    <t>Pacto</t>
  </si>
  <si>
    <t>Diret</t>
  </si>
  <si>
    <t>Coord</t>
  </si>
  <si>
    <t>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</si>
</sst>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dd/mm/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rgb="FF00B0F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28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16" fillId="0" borderId="0" applyFont="0" applyFill="0" applyBorder="0" applyAlignment="0" applyProtection="0"/>
  </cellStyleXfs>
  <cellXfs count="134">
    <xf numFmtId="0" fontId="0" fillId="0" borderId="0" xfId="0"/>
    <xf numFmtId="0" fontId="0" fillId="0" borderId="0" xfId="0" applyFont="1"/>
    <xf numFmtId="0" fontId="3" fillId="0" borderId="0" xfId="0" applyFont="1"/>
    <xf numFmtId="0" fontId="0" fillId="0" borderId="0" xfId="0" applyFont="1" applyAlignment="1">
      <alignment horizontal="center"/>
    </xf>
    <xf numFmtId="0" fontId="5" fillId="0" borderId="0" xfId="0" applyFont="1"/>
    <xf numFmtId="0" fontId="7" fillId="0" borderId="1" xfId="0" applyFont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Alignment="1"/>
    <xf numFmtId="164" fontId="0" fillId="0" borderId="0" xfId="0" applyNumberFormat="1"/>
    <xf numFmtId="14" fontId="0" fillId="0" borderId="0" xfId="0" applyNumberFormat="1"/>
    <xf numFmtId="0" fontId="0" fillId="0" borderId="3" xfId="0" applyFont="1" applyBorder="1" applyAlignment="1" applyProtection="1">
      <protection locked="0"/>
    </xf>
    <xf numFmtId="0" fontId="0" fillId="3" borderId="2" xfId="0" applyFont="1" applyFill="1" applyBorder="1" applyAlignment="1" applyProtection="1">
      <alignment horizontal="left" vertical="center" wrapText="1"/>
      <protection locked="0"/>
    </xf>
    <xf numFmtId="0" fontId="0" fillId="3" borderId="3" xfId="0" applyFont="1" applyFill="1" applyBorder="1" applyAlignment="1" applyProtection="1">
      <alignment horizontal="left" vertical="center" wrapText="1"/>
      <protection locked="0"/>
    </xf>
    <xf numFmtId="0" fontId="0" fillId="3" borderId="4" xfId="0" applyFont="1" applyFill="1" applyBorder="1" applyAlignment="1" applyProtection="1">
      <alignment horizontal="left" vertical="center" wrapText="1"/>
      <protection locked="0"/>
    </xf>
    <xf numFmtId="164" fontId="0" fillId="0" borderId="2" xfId="0" applyNumberFormat="1" applyFont="1" applyBorder="1" applyAlignment="1" applyProtection="1">
      <alignment horizontal="center"/>
      <protection locked="0"/>
    </xf>
    <xf numFmtId="164" fontId="0" fillId="0" borderId="3" xfId="0" applyNumberFormat="1" applyFont="1" applyBorder="1" applyAlignment="1" applyProtection="1">
      <alignment horizontal="center"/>
      <protection locked="0"/>
    </xf>
    <xf numFmtId="164" fontId="0" fillId="0" borderId="4" xfId="0" applyNumberFormat="1" applyFont="1" applyBorder="1" applyAlignment="1" applyProtection="1">
      <alignment horizontal="center"/>
      <protection locked="0"/>
    </xf>
    <xf numFmtId="0" fontId="0" fillId="3" borderId="1" xfId="0" applyFont="1" applyFill="1" applyBorder="1" applyAlignment="1">
      <alignment vertical="center" wrapText="1"/>
    </xf>
    <xf numFmtId="0" fontId="10" fillId="0" borderId="0" xfId="0" applyFont="1"/>
    <xf numFmtId="0" fontId="7" fillId="0" borderId="0" xfId="0" applyFont="1"/>
    <xf numFmtId="0" fontId="7" fillId="0" borderId="0" xfId="0" applyFont="1" applyFill="1" applyAlignment="1" applyProtection="1">
      <alignment horizontal="center" vertical="center" wrapText="1"/>
      <protection locked="0"/>
    </xf>
    <xf numFmtId="14" fontId="7" fillId="0" borderId="0" xfId="0" applyNumberFormat="1" applyFont="1" applyFill="1" applyAlignment="1" applyProtection="1">
      <alignment horizontal="center" vertical="center" wrapText="1"/>
      <protection locked="0"/>
    </xf>
    <xf numFmtId="14" fontId="7" fillId="0" borderId="0" xfId="0" applyNumberFormat="1" applyFont="1" applyFill="1" applyAlignment="1" applyProtection="1">
      <alignment horizontal="center" vertical="center" wrapText="1"/>
      <protection hidden="1"/>
    </xf>
    <xf numFmtId="17" fontId="7" fillId="0" borderId="0" xfId="0" applyNumberFormat="1" applyFont="1" applyFill="1" applyAlignment="1" applyProtection="1">
      <alignment horizontal="center" vertical="center" wrapText="1"/>
      <protection locked="0"/>
    </xf>
    <xf numFmtId="17" fontId="11" fillId="8" borderId="0" xfId="0" applyNumberFormat="1" applyFont="1" applyFill="1" applyAlignment="1" applyProtection="1">
      <alignment horizontal="center" vertical="center" wrapText="1"/>
      <protection hidden="1"/>
    </xf>
    <xf numFmtId="17" fontId="12" fillId="0" borderId="0" xfId="0" applyNumberFormat="1" applyFont="1" applyFill="1" applyAlignment="1" applyProtection="1">
      <alignment horizontal="center" vertical="center" wrapText="1"/>
      <protection hidden="1"/>
    </xf>
    <xf numFmtId="0" fontId="12" fillId="0" borderId="0" xfId="0" applyNumberFormat="1" applyFont="1" applyFill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17" fontId="7" fillId="0" borderId="0" xfId="0" applyNumberFormat="1" applyFont="1" applyAlignment="1" applyProtection="1">
      <alignment horizontal="center" vertical="center" wrapText="1"/>
      <protection hidden="1"/>
    </xf>
    <xf numFmtId="164" fontId="7" fillId="0" borderId="0" xfId="0" applyNumberFormat="1" applyFont="1" applyAlignment="1" applyProtection="1">
      <alignment horizontal="center" vertical="center" wrapText="1"/>
      <protection hidden="1"/>
    </xf>
    <xf numFmtId="164" fontId="12" fillId="0" borderId="0" xfId="0" applyNumberFormat="1" applyFont="1" applyFill="1" applyAlignment="1" applyProtection="1">
      <alignment horizontal="center" vertical="center" wrapText="1"/>
      <protection hidden="1"/>
    </xf>
    <xf numFmtId="17" fontId="0" fillId="0" borderId="0" xfId="0" applyNumberFormat="1"/>
    <xf numFmtId="0" fontId="0" fillId="0" borderId="0" xfId="0" applyAlignment="1">
      <alignment horizontal="right"/>
    </xf>
    <xf numFmtId="0" fontId="7" fillId="0" borderId="0" xfId="0" applyNumberFormat="1" applyFont="1" applyFill="1" applyAlignment="1" applyProtection="1">
      <alignment horizontal="right" vertical="center" wrapText="1"/>
      <protection hidden="1"/>
    </xf>
    <xf numFmtId="0" fontId="14" fillId="7" borderId="0" xfId="0" applyFont="1" applyFill="1" applyAlignment="1">
      <alignment vertical="center"/>
    </xf>
    <xf numFmtId="14" fontId="14" fillId="7" borderId="0" xfId="0" applyNumberFormat="1" applyFont="1" applyFill="1" applyAlignment="1">
      <alignment vertical="center"/>
    </xf>
    <xf numFmtId="0" fontId="14" fillId="7" borderId="0" xfId="0" applyFont="1" applyFill="1" applyAlignment="1">
      <alignment horizontal="right" vertical="center"/>
    </xf>
    <xf numFmtId="0" fontId="13" fillId="7" borderId="0" xfId="0" applyFont="1" applyFill="1" applyAlignment="1">
      <alignment vertical="center"/>
    </xf>
    <xf numFmtId="14" fontId="13" fillId="7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Fill="1" applyAlignment="1" applyProtection="1">
      <alignment horizontal="left" vertical="center" wrapText="1"/>
    </xf>
    <xf numFmtId="14" fontId="7" fillId="0" borderId="0" xfId="0" applyNumberFormat="1" applyFont="1" applyFill="1" applyAlignment="1" applyProtection="1">
      <alignment horizontal="center" vertical="center" wrapText="1"/>
    </xf>
    <xf numFmtId="0" fontId="0" fillId="7" borderId="0" xfId="0" applyFill="1" applyAlignment="1">
      <alignment vertical="center"/>
    </xf>
    <xf numFmtId="164" fontId="13" fillId="7" borderId="0" xfId="0" applyNumberFormat="1" applyFont="1" applyFill="1" applyAlignment="1">
      <alignment vertical="center"/>
    </xf>
    <xf numFmtId="164" fontId="0" fillId="0" borderId="0" xfId="0" quotePrefix="1" applyNumberFormat="1"/>
    <xf numFmtId="164" fontId="0" fillId="0" borderId="2" xfId="0" applyNumberFormat="1" applyFont="1" applyBorder="1" applyAlignment="1" applyProtection="1">
      <alignment horizontal="center"/>
      <protection locked="0"/>
    </xf>
    <xf numFmtId="164" fontId="0" fillId="0" borderId="3" xfId="0" applyNumberFormat="1" applyFont="1" applyBorder="1" applyAlignment="1" applyProtection="1">
      <alignment horizontal="center"/>
      <protection locked="0"/>
    </xf>
    <xf numFmtId="164" fontId="0" fillId="0" borderId="4" xfId="0" applyNumberFormat="1" applyFont="1" applyBorder="1" applyAlignment="1" applyProtection="1">
      <alignment horizontal="center"/>
      <protection locked="0"/>
    </xf>
    <xf numFmtId="0" fontId="0" fillId="2" borderId="0" xfId="0" applyFill="1"/>
    <xf numFmtId="0" fontId="15" fillId="0" borderId="0" xfId="0" applyFont="1" applyFill="1"/>
    <xf numFmtId="164" fontId="15" fillId="9" borderId="0" xfId="0" applyNumberFormat="1" applyFont="1" applyFill="1"/>
    <xf numFmtId="0" fontId="15" fillId="9" borderId="0" xfId="0" applyFont="1" applyFill="1"/>
    <xf numFmtId="0" fontId="15" fillId="10" borderId="0" xfId="0" applyFont="1" applyFill="1" applyAlignment="1"/>
    <xf numFmtId="14" fontId="0" fillId="0" borderId="0" xfId="0" quotePrefix="1" applyNumberFormat="1"/>
    <xf numFmtId="0" fontId="0" fillId="0" borderId="0" xfId="0" applyNumberFormat="1"/>
    <xf numFmtId="0" fontId="0" fillId="0" borderId="0" xfId="0" quotePrefix="1" applyNumberFormat="1"/>
    <xf numFmtId="49" fontId="0" fillId="0" borderId="0" xfId="0" applyNumberFormat="1"/>
    <xf numFmtId="49" fontId="0" fillId="0" borderId="0" xfId="0" quotePrefix="1" applyNumberForma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4" fillId="7" borderId="0" xfId="0" applyFont="1" applyFill="1" applyAlignment="1">
      <alignment horizontal="center" vertical="center"/>
    </xf>
    <xf numFmtId="0" fontId="0" fillId="0" borderId="0" xfId="0" quotePrefix="1" applyNumberFormat="1" applyAlignment="1">
      <alignment horizontal="right"/>
    </xf>
    <xf numFmtId="43" fontId="13" fillId="7" borderId="0" xfId="2" applyFont="1" applyFill="1" applyAlignment="1">
      <alignment vertical="center"/>
    </xf>
    <xf numFmtId="0" fontId="9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left" vertical="center" wrapText="1"/>
    </xf>
    <xf numFmtId="0" fontId="6" fillId="0" borderId="2" xfId="0" applyFont="1" applyBorder="1" applyAlignment="1" applyProtection="1">
      <alignment horizontal="left"/>
      <protection locked="0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0" fillId="0" borderId="3" xfId="0" applyFont="1" applyBorder="1" applyAlignment="1" applyProtection="1">
      <alignment horizontal="right"/>
      <protection locked="0"/>
    </xf>
    <xf numFmtId="0" fontId="0" fillId="0" borderId="4" xfId="0" applyFont="1" applyBorder="1" applyAlignment="1" applyProtection="1">
      <alignment horizontal="right"/>
      <protection locked="0"/>
    </xf>
    <xf numFmtId="0" fontId="0" fillId="0" borderId="2" xfId="0" applyFont="1" applyBorder="1" applyAlignment="1" applyProtection="1">
      <alignment horizontal="left"/>
      <protection locked="0"/>
    </xf>
    <xf numFmtId="0" fontId="0" fillId="0" borderId="3" xfId="0" applyFont="1" applyBorder="1" applyAlignment="1" applyProtection="1">
      <alignment horizontal="left"/>
      <protection locked="0"/>
    </xf>
    <xf numFmtId="0" fontId="0" fillId="0" borderId="4" xfId="0" applyFont="1" applyBorder="1" applyAlignment="1" applyProtection="1">
      <alignment horizontal="left"/>
      <protection locked="0"/>
    </xf>
    <xf numFmtId="0" fontId="0" fillId="0" borderId="1" xfId="0" applyFont="1" applyBorder="1" applyAlignment="1" applyProtection="1">
      <alignment horizontal="left"/>
      <protection locked="0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left"/>
      <protection locked="0"/>
    </xf>
    <xf numFmtId="0" fontId="7" fillId="0" borderId="3" xfId="0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8" fillId="0" borderId="1" xfId="1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 applyProtection="1">
      <alignment horizontal="left" vertical="center"/>
      <protection locked="0"/>
    </xf>
    <xf numFmtId="0" fontId="1" fillId="3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4" fontId="0" fillId="0" borderId="2" xfId="0" applyNumberFormat="1" applyFont="1" applyBorder="1" applyAlignment="1" applyProtection="1">
      <alignment horizontal="center"/>
      <protection locked="0"/>
    </xf>
    <xf numFmtId="164" fontId="0" fillId="0" borderId="3" xfId="0" applyNumberFormat="1" applyFont="1" applyBorder="1" applyAlignment="1" applyProtection="1">
      <alignment horizontal="center"/>
      <protection locked="0"/>
    </xf>
    <xf numFmtId="164" fontId="0" fillId="0" borderId="4" xfId="0" applyNumberFormat="1" applyFont="1" applyBorder="1" applyAlignment="1" applyProtection="1">
      <alignment horizontal="center"/>
      <protection locked="0"/>
    </xf>
    <xf numFmtId="0" fontId="0" fillId="3" borderId="2" xfId="0" applyFont="1" applyFill="1" applyBorder="1" applyAlignment="1" applyProtection="1">
      <alignment horizontal="left" vertical="center" wrapText="1"/>
      <protection locked="0"/>
    </xf>
    <xf numFmtId="0" fontId="0" fillId="3" borderId="3" xfId="0" applyFont="1" applyFill="1" applyBorder="1" applyAlignment="1" applyProtection="1">
      <alignment horizontal="left" vertical="center" wrapText="1"/>
      <protection locked="0"/>
    </xf>
    <xf numFmtId="0" fontId="0" fillId="3" borderId="4" xfId="0" applyFont="1" applyFill="1" applyBorder="1" applyAlignment="1" applyProtection="1">
      <alignment horizontal="left" vertical="center" wrapText="1"/>
      <protection locked="0"/>
    </xf>
    <xf numFmtId="0" fontId="1" fillId="3" borderId="0" xfId="0" applyFont="1" applyFill="1" applyBorder="1" applyAlignment="1">
      <alignment horizontal="left" vertical="center" wrapText="1"/>
    </xf>
    <xf numFmtId="49" fontId="12" fillId="0" borderId="2" xfId="1" applyNumberFormat="1" applyFont="1" applyBorder="1" applyAlignment="1" applyProtection="1">
      <alignment horizontal="center"/>
      <protection locked="0"/>
    </xf>
    <xf numFmtId="49" fontId="12" fillId="0" borderId="3" xfId="1" applyNumberFormat="1" applyFont="1" applyBorder="1" applyAlignment="1" applyProtection="1">
      <alignment horizontal="center"/>
      <protection locked="0"/>
    </xf>
    <xf numFmtId="49" fontId="12" fillId="0" borderId="4" xfId="1" applyNumberFormat="1" applyFont="1" applyBorder="1" applyAlignment="1" applyProtection="1">
      <alignment horizontal="center"/>
      <protection locked="0"/>
    </xf>
    <xf numFmtId="0" fontId="8" fillId="0" borderId="2" xfId="1" applyFont="1" applyBorder="1" applyAlignment="1" applyProtection="1">
      <alignment horizontal="center"/>
      <protection locked="0"/>
    </xf>
    <xf numFmtId="0" fontId="8" fillId="0" borderId="3" xfId="1" applyFont="1" applyBorder="1" applyAlignment="1" applyProtection="1">
      <alignment horizontal="center"/>
      <protection locked="0"/>
    </xf>
    <xf numFmtId="0" fontId="8" fillId="0" borderId="4" xfId="1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/>
      <protection locked="0"/>
    </xf>
    <xf numFmtId="14" fontId="0" fillId="0" borderId="1" xfId="0" applyNumberFormat="1" applyFon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center"/>
      <protection locked="0"/>
    </xf>
    <xf numFmtId="14" fontId="0" fillId="0" borderId="2" xfId="0" applyNumberFormat="1" applyFont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alignment horizontal="center"/>
      <protection locked="0"/>
    </xf>
    <xf numFmtId="0" fontId="0" fillId="0" borderId="4" xfId="0" applyFont="1" applyBorder="1" applyAlignment="1" applyProtection="1">
      <alignment horizontal="center"/>
      <protection locked="0"/>
    </xf>
    <xf numFmtId="0" fontId="0" fillId="0" borderId="1" xfId="0" applyFont="1" applyBorder="1" applyAlignment="1">
      <alignment horizontal="left"/>
    </xf>
    <xf numFmtId="0" fontId="14" fillId="7" borderId="0" xfId="0" applyFont="1" applyFill="1" applyAlignment="1">
      <alignment horizontal="left" vertical="center"/>
    </xf>
    <xf numFmtId="0" fontId="15" fillId="10" borderId="0" xfId="0" applyFont="1" applyFill="1" applyAlignment="1">
      <alignment horizontal="center"/>
    </xf>
    <xf numFmtId="0" fontId="0" fillId="5" borderId="0" xfId="0" applyFill="1" applyAlignment="1">
      <alignment horizontal="left"/>
    </xf>
    <xf numFmtId="0" fontId="0" fillId="4" borderId="0" xfId="0" applyFill="1" applyAlignment="1">
      <alignment horizontal="left"/>
    </xf>
    <xf numFmtId="0" fontId="0" fillId="6" borderId="0" xfId="0" applyFill="1" applyAlignment="1">
      <alignment horizontal="left"/>
    </xf>
  </cellXfs>
  <cellStyles count="3">
    <cellStyle name="Hiperlink" xfId="1" builtinId="8"/>
    <cellStyle name="Normal" xfId="0" builtinId="0"/>
    <cellStyle name="Vírgula" xfId="2" builtinId="3"/>
  </cellStyles>
  <dxfs count="619">
    <dxf>
      <numFmt numFmtId="22" formatCode="mmm/yy"/>
    </dxf>
    <dxf>
      <numFmt numFmtId="22" formatCode="mmm/yy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22" formatCode="mmm/yy"/>
    </dxf>
    <dxf>
      <numFmt numFmtId="22" formatCode="mmm/yy"/>
    </dxf>
    <dxf>
      <numFmt numFmtId="22" formatCode="mmm/yy"/>
    </dxf>
    <dxf>
      <numFmt numFmtId="22" formatCode="mmm/yy"/>
    </dxf>
    <dxf>
      <numFmt numFmtId="22" formatCode="mmm/yy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164" formatCode="dd/mm/yy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dd/mm/yy;@"/>
    </dxf>
    <dxf>
      <numFmt numFmtId="0" formatCode="General"/>
    </dxf>
    <dxf>
      <numFmt numFmtId="19" formatCode="dd/mm/yyyy"/>
    </dxf>
    <dxf>
      <numFmt numFmtId="19" formatCode="dd/mm/yyyy"/>
    </dxf>
    <dxf>
      <numFmt numFmtId="30" formatCode="@"/>
    </dxf>
    <dxf>
      <numFmt numFmtId="0" formatCode="General"/>
    </dxf>
    <dxf>
      <numFmt numFmtId="0" formatCode="General"/>
    </dxf>
    <dxf>
      <numFmt numFmtId="19" formatCode="dd/mm/yyyy"/>
    </dxf>
    <dxf>
      <alignment horizontal="center" textRotation="0" indent="0" justifyLastLine="0" shrinkToFit="0" readingOrder="0"/>
    </dxf>
    <dxf>
      <numFmt numFmtId="0" formatCode="General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protection locked="1" hidden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mm/\y\y"/>
      <fill>
        <patternFill patternType="none">
          <fgColor rgb="FF000000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2" formatCode="mmm/yy"/>
      <alignment horizontal="center" vertical="center" textRotation="0" wrapText="1" indent="0" justifyLastLine="0" shrinkToFit="0" readingOrder="0"/>
      <protection locked="1" hidden="1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Estilo de Tabela 1" pivot="0" count="0" xr9:uid="{1FDE8993-71C4-4A8E-B525-E838BC75D19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3990729-5CAE-4BD7-90BC-C6840AE5B0DE}" name="Projeto1" displayName="Projeto1" ref="B5:T15" totalsRowShown="0" headerRowDxfId="538" dataDxfId="537">
  <autoFilter ref="B5:T15" xr:uid="{985632A8-F6DB-4352-9BBB-B0D1DE17E392}"/>
  <tableColumns count="19">
    <tableColumn id="5" xr3:uid="{6399F83A-45C3-4945-B164-B6E4943E6B1B}" name="Fase" dataDxfId="536"/>
    <tableColumn id="6" xr3:uid="{0BB46FE2-D302-4A47-9A36-1EB98ED3BCF0}" name="Data Início Prevista" dataDxfId="535"/>
    <tableColumn id="7" xr3:uid="{3A46A4A9-77D7-4780-979E-02DA11CF1A8C}" name="Data Fim Prevista" dataDxfId="534"/>
    <tableColumn id="8" xr3:uid="{0D98A3A7-904C-438C-BC85-F01AFD929F40}" name="Status" dataDxfId="533">
      <calculatedColumnFormula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calculatedColumnFormula>
    </tableColumn>
    <tableColumn id="9" xr3:uid="{78C4BD81-90DE-4DA3-885E-04582191DAA3}" name="Produto" dataDxfId="532"/>
    <tableColumn id="10" xr3:uid="{6562C7C2-9AB0-49F4-A0B6-6E2D49539A57}" name="Data Repactuada" dataDxfId="531"/>
    <tableColumn id="11" xr3:uid="{CDCF8B79-88A3-4B7A-87DC-85778E7D78EB}" name="Motivo Repactuação" dataDxfId="530"/>
    <tableColumn id="12" xr3:uid="{3A9A65BC-4CB1-4D8A-9698-72909021109F}" name="Data Fim Real da Fase" dataDxfId="529"/>
    <tableColumn id="13" xr3:uid="{66E0B7EA-06D3-4948-926D-DEE1A8DB67F8}" name="Atraso" dataDxfId="528">
      <calculatedColumnFormula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calculatedColumnFormula>
    </tableColumn>
    <tableColumn id="28" xr3:uid="{A71272D1-773E-4514-A772-F53FBFD9B4F2}" name="Iniciada" dataDxfId="527"/>
    <tableColumn id="27" xr3:uid="{EF0F7D99-70D4-4A97-9E77-6A9E153F0716}" name="Concluída" dataDxfId="526"/>
    <tableColumn id="14" xr3:uid="{95DF3C8A-D41C-4DF5-A3FC-3FE14F1CC5D2}" name="Cancelada" dataDxfId="525"/>
    <tableColumn id="25" xr3:uid="{D6F5555F-F9D1-4DDD-B4C6-823D175F65E0}" name="Coluna1" dataDxfId="524"/>
    <tableColumn id="26" xr3:uid="{552036BB-8CE6-4D54-9B9A-A98D2CBB0AF2}" name="éhoje" dataDxfId="523">
      <calculatedColumnFormula>TODAY()</calculatedColumnFormula>
    </tableColumn>
    <tableColumn id="29" xr3:uid="{7EF0EE0D-CC09-430D-AA5F-954FAA8340B9}" name="Já iniciada" dataDxfId="522">
      <calculatedColumnFormula>IF(Projeto1[[#This Row],[Iniciada]]&lt;&gt;"",1,0)</calculatedColumnFormula>
    </tableColumn>
    <tableColumn id="30" xr3:uid="{172DDD06-19BC-4531-A6DF-569C1B114937}" name="atraso inicio" dataDxfId="521">
      <calculatedColumnFormula>IF(Projeto1[[#This Row],[Já iniciada]]=1,0,IF(AND(Projeto1[[#This Row],[Data Início Prevista]]&lt;&gt;0,Projeto1[[#This Row],[éhoje]]&gt;Projeto1[[#This Row],[Data Início Prevista]]),1,0))</calculatedColumnFormula>
    </tableColumn>
    <tableColumn id="31" xr3:uid="{F39681DA-E103-401B-97F6-204F7FADDF1C}" name="atraso FIM" dataDxfId="520">
      <calculatedColumnFormula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calculatedColumnFormula>
    </tableColumn>
    <tableColumn id="32" xr3:uid="{26A8CB4D-3DDA-43EB-B542-56184EC38854}" name="Repact" dataDxfId="519">
      <calculatedColumnFormula>IF(Projeto1[[#This Row],[Data Repactuada]]&lt;&gt;"",1,0)</calculatedColumnFormula>
    </tableColumn>
    <tableColumn id="34" xr3:uid="{31B0880D-CE9A-489A-9CCA-027F532BA39E}" name="Concluido" dataDxfId="518">
      <calculatedColumnFormula>IF(Projeto1[[#This Row],[Concluída]]&lt;&gt;"",1,0)</calculatedColumnFormula>
    </tableColumn>
  </tableColumns>
  <tableStyleInfo name="TableStyleMedium13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F8FBB9E-F7AD-4A8E-8785-0A8093F71D0D}" name="Projeto10" displayName="Projeto10" ref="B131:T141" totalsRowShown="0" headerRowDxfId="349" dataDxfId="348">
  <autoFilter ref="B131:T141" xr:uid="{3F3B8868-57CD-4A33-8B95-B72AE2EDEC34}"/>
  <tableColumns count="19">
    <tableColumn id="5" xr3:uid="{91DDD151-501B-4356-9EDF-ED9BF768A5F9}" name="Fase" dataDxfId="347"/>
    <tableColumn id="6" xr3:uid="{5F7560FD-E6BB-43C0-AA4D-BE61B35441B3}" name="Data Início Prevista" dataDxfId="346"/>
    <tableColumn id="7" xr3:uid="{3056404A-128D-4364-84AF-210ABA633710}" name="Data Fim Prevista" dataDxfId="345"/>
    <tableColumn id="8" xr3:uid="{BD6A7BBF-8E62-45A6-A36E-89727593D5E4}" name="Status" dataDxfId="344">
      <calculatedColumnFormula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calculatedColumnFormula>
    </tableColumn>
    <tableColumn id="9" xr3:uid="{2C4BB1CB-7DE8-4ECC-8EE3-8DEF8C28BFFA}" name="Produto" dataDxfId="343"/>
    <tableColumn id="10" xr3:uid="{F5CC3580-ADCA-4247-8614-914EE0C2AF98}" name="Data Repactuada" dataDxfId="342"/>
    <tableColumn id="11" xr3:uid="{9357683E-0C18-420D-A5FA-14AFC11ECE51}" name="Motivo Repactuação" dataDxfId="341"/>
    <tableColumn id="12" xr3:uid="{0D5C311B-D0D1-4E93-AA5A-8D81981B5F9D}" name="Data Fim Real da Fase" dataDxfId="340"/>
    <tableColumn id="13" xr3:uid="{93170016-74FA-4B3A-A71D-62E0EFFD7DAF}" name="Atraso" dataDxfId="339">
      <calculatedColumnFormula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calculatedColumnFormula>
    </tableColumn>
    <tableColumn id="28" xr3:uid="{1F6669DA-22F3-42E9-808A-E2FCE262F620}" name="Iniciada" dataDxfId="338"/>
    <tableColumn id="27" xr3:uid="{27B998F7-B88D-42D1-9B45-8CBCF02ECA02}" name="Concluída" dataDxfId="337"/>
    <tableColumn id="14" xr3:uid="{52BCE308-E8AC-4490-9EF9-1D1DCBFBD853}" name="Cancelada" dataDxfId="336"/>
    <tableColumn id="25" xr3:uid="{64005E1D-2BD5-4755-A038-A14B2DAFD0D3}" name="Coluna1" dataDxfId="335"/>
    <tableColumn id="26" xr3:uid="{7BC210E5-81D2-41E5-B050-31A3227EE089}" name="éhoje" dataDxfId="334">
      <calculatedColumnFormula>TODAY()</calculatedColumnFormula>
    </tableColumn>
    <tableColumn id="29" xr3:uid="{2A6CCD4C-B115-4ADE-B005-EFAAE623A555}" name="Já iniciada" dataDxfId="333">
      <calculatedColumnFormula>IF(Projeto10[[#This Row],[Iniciada]]&lt;&gt;"",1,0)</calculatedColumnFormula>
    </tableColumn>
    <tableColumn id="30" xr3:uid="{A6C4D68E-D85A-4AAF-9A67-D6B62D3E2C1A}" name="atraso inicio" dataDxfId="332">
      <calculatedColumnFormula>IF(Projeto10[[#This Row],[Já iniciada]]=1,0,IF(AND(Projeto10[[#This Row],[Data Início Prevista]]&lt;&gt;0,Projeto10[[#This Row],[éhoje]]&gt;Projeto10[[#This Row],[Data Início Prevista]]),1,0))</calculatedColumnFormula>
    </tableColumn>
    <tableColumn id="31" xr3:uid="{7ADBCF37-E587-462B-8C4D-EA6E8FEC7279}" name="atraso FIM" dataDxfId="331">
      <calculatedColumnFormula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calculatedColumnFormula>
    </tableColumn>
    <tableColumn id="32" xr3:uid="{D94299C0-D8FA-4E93-9534-270EA90FA5B7}" name="Repact" dataDxfId="330">
      <calculatedColumnFormula>IF(Projeto10[[#This Row],[Data Repactuada]]&lt;&gt;"",1,0)</calculatedColumnFormula>
    </tableColumn>
    <tableColumn id="34" xr3:uid="{8166D6CD-ADA3-4930-A06A-0981064FFC19}" name="Concluido" dataDxfId="329">
      <calculatedColumnFormula>IF(Projeto10[[#This Row],[Concluída]]&lt;&gt;"",1,0)</calculatedColumnFormula>
    </tableColumn>
  </tableColumns>
  <tableStyleInfo name="TableStyleMedium13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48C707B-CF6A-4816-AAC3-C3858FD96242}" name="Projeto11" displayName="Projeto11" ref="B145:T155" totalsRowShown="0" headerRowDxfId="328" dataDxfId="327">
  <autoFilter ref="B145:T155" xr:uid="{2B5AA263-7C4D-4173-B592-626362CF3155}"/>
  <tableColumns count="19">
    <tableColumn id="5" xr3:uid="{50F8AB54-0457-4EA6-BBF6-312C2593355F}" name="Fase" dataDxfId="326"/>
    <tableColumn id="6" xr3:uid="{437BDD3A-4E95-4AB7-A99C-10247861CF93}" name="Data Início Prevista" dataDxfId="325"/>
    <tableColumn id="7" xr3:uid="{C43F462F-7D14-4F52-AB6D-93F92367D75C}" name="Data Fim Prevista" dataDxfId="324"/>
    <tableColumn id="8" xr3:uid="{50293A72-6B52-462C-B504-1040AE7BD125}" name="Status" dataDxfId="323">
      <calculatedColumnFormula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calculatedColumnFormula>
    </tableColumn>
    <tableColumn id="9" xr3:uid="{C7002F61-F75E-41E9-8538-81E0FB68EB16}" name="Produto" dataDxfId="322"/>
    <tableColumn id="10" xr3:uid="{BC245AA3-AD1A-40C6-ABDD-530C65BD4B86}" name="Data Repactuada" dataDxfId="321"/>
    <tableColumn id="11" xr3:uid="{9F99392C-58DE-4359-8999-9F8F5943C6E3}" name="Motivo Repactuação" dataDxfId="320"/>
    <tableColumn id="12" xr3:uid="{70861D41-2C95-4087-A451-9522EA36D58C}" name="Data Fim Real da Fase" dataDxfId="319"/>
    <tableColumn id="13" xr3:uid="{40469ACD-3AE5-4A5A-B8A6-9B25BDB1F072}" name="Atraso" dataDxfId="318">
      <calculatedColumnFormula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calculatedColumnFormula>
    </tableColumn>
    <tableColumn id="28" xr3:uid="{46AFB360-8A09-4B0F-A91E-98D60548A960}" name="Iniciada" dataDxfId="317"/>
    <tableColumn id="27" xr3:uid="{481F96B8-0A22-43DA-B255-B8C0ACBB1B25}" name="Concluída" dataDxfId="316"/>
    <tableColumn id="14" xr3:uid="{AC830B3E-C6E2-4C89-8415-E6E9DA805A55}" name="Cancelada" dataDxfId="315"/>
    <tableColumn id="25" xr3:uid="{D87C7A81-4C9B-4FAD-9730-B8B0EE61D009}" name="Coluna1" dataDxfId="314"/>
    <tableColumn id="26" xr3:uid="{6D083CA4-E048-4FEB-86EB-69C3B7418F16}" name="éhoje" dataDxfId="313">
      <calculatedColumnFormula>TODAY()</calculatedColumnFormula>
    </tableColumn>
    <tableColumn id="29" xr3:uid="{65BB4310-76B6-456D-9CAD-77BB75D6F369}" name="Já iniciada" dataDxfId="312">
      <calculatedColumnFormula>IF(Projeto11[[#This Row],[Iniciada]]&lt;&gt;"",1,0)</calculatedColumnFormula>
    </tableColumn>
    <tableColumn id="30" xr3:uid="{718346C7-B6CB-431B-8EB9-A30131A0EC91}" name="atraso inicio" dataDxfId="311">
      <calculatedColumnFormula>IF(Projeto11[[#This Row],[Já iniciada]]=1,0,IF(AND(Projeto11[[#This Row],[Data Início Prevista]]&lt;&gt;0,Projeto11[[#This Row],[éhoje]]&gt;Projeto11[[#This Row],[Data Início Prevista]]),1,0))</calculatedColumnFormula>
    </tableColumn>
    <tableColumn id="31" xr3:uid="{76A087E2-B60B-4130-A089-C4E0ECF4C5E4}" name="atraso FIM" dataDxfId="310">
      <calculatedColumnFormula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calculatedColumnFormula>
    </tableColumn>
    <tableColumn id="32" xr3:uid="{ED67A706-7CF6-4B72-903F-7B95F2511EC1}" name="Repact" dataDxfId="309">
      <calculatedColumnFormula>IF(Projeto11[[#This Row],[Data Repactuada]]&lt;&gt;"",1,0)</calculatedColumnFormula>
    </tableColumn>
    <tableColumn id="34" xr3:uid="{CF5FD4E8-9AEC-431A-8BFC-C6BED3C29586}" name="Concluido" dataDxfId="308">
      <calculatedColumnFormula>IF(Projeto11[[#This Row],[Concluída]]&lt;&gt;"",1,0)</calculatedColumnFormula>
    </tableColumn>
  </tableColumns>
  <tableStyleInfo name="TableStyleMedium13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09B4E12-310D-443A-8329-965B01A6DE1C}" name="Projeto12" displayName="Projeto12" ref="B159:T169" totalsRowShown="0" headerRowDxfId="307" dataDxfId="306">
  <autoFilter ref="B159:T169" xr:uid="{AC6F9AA1-F2C0-41C6-AB31-D4E822D06F58}"/>
  <tableColumns count="19">
    <tableColumn id="5" xr3:uid="{AA461AC2-5F37-4E0E-8E06-82A272359DD3}" name="Fase" dataDxfId="305"/>
    <tableColumn id="6" xr3:uid="{86DDC085-9E7F-4F93-9628-DC7FB2E26AD2}" name="Data Início Prevista" dataDxfId="304"/>
    <tableColumn id="7" xr3:uid="{B73921B2-4557-4732-A7B1-A56B95BA29DC}" name="Data Fim Prevista" dataDxfId="303"/>
    <tableColumn id="8" xr3:uid="{156A84D2-796E-47D4-8770-25501298FFDB}" name="Status" dataDxfId="302">
      <calculatedColumnFormula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calculatedColumnFormula>
    </tableColumn>
    <tableColumn id="9" xr3:uid="{479DAFCD-7B59-4166-8D0A-24045B7C2C9B}" name="Produto" dataDxfId="301"/>
    <tableColumn id="10" xr3:uid="{4C14A2FE-4885-484D-A733-B0CE084C0B8D}" name="Data Repactuada" dataDxfId="300"/>
    <tableColumn id="11" xr3:uid="{A6C6C889-0CA8-4755-9075-24127121F249}" name="Motivo Repactuação" dataDxfId="299"/>
    <tableColumn id="12" xr3:uid="{09AB8AEE-1DAA-4613-A4DF-CFA3FB855265}" name="Data Fim Real da Fase" dataDxfId="298"/>
    <tableColumn id="13" xr3:uid="{2853BB42-E7FC-476F-B8D7-9A71D4BA3092}" name="Atraso" dataDxfId="297">
      <calculatedColumnFormula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calculatedColumnFormula>
    </tableColumn>
    <tableColumn id="28" xr3:uid="{13E630BE-D46C-48A0-99B3-E5FD4F9E39E5}" name="Iniciada" dataDxfId="296"/>
    <tableColumn id="27" xr3:uid="{55112F67-CFBD-4612-B41C-2F73C31480F1}" name="Concluída" dataDxfId="295"/>
    <tableColumn id="14" xr3:uid="{D7009B37-0F7E-4ED4-8559-907275EA984A}" name="Cancelada" dataDxfId="294"/>
    <tableColumn id="25" xr3:uid="{4BC22392-717D-4A94-952C-72203E58B4C1}" name="Coluna1" dataDxfId="293"/>
    <tableColumn id="26" xr3:uid="{99D3F474-5763-4F58-8DCC-BD1F2601D18A}" name="éhoje" dataDxfId="292">
      <calculatedColumnFormula>TODAY()</calculatedColumnFormula>
    </tableColumn>
    <tableColumn id="29" xr3:uid="{7D04B736-F417-4E92-A718-524B2F6D6153}" name="Já iniciada" dataDxfId="291">
      <calculatedColumnFormula>IF(Projeto12[[#This Row],[Iniciada]]&lt;&gt;"",1,0)</calculatedColumnFormula>
    </tableColumn>
    <tableColumn id="30" xr3:uid="{959AFFCB-4371-4663-B12D-E5A2C7D7D04C}" name="atraso inicio" dataDxfId="290">
      <calculatedColumnFormula>IF(Projeto12[[#This Row],[Já iniciada]]=1,0,IF(AND(Projeto12[[#This Row],[Data Início Prevista]]&lt;&gt;0,Projeto12[[#This Row],[éhoje]]&gt;Projeto12[[#This Row],[Data Início Prevista]]),1,0))</calculatedColumnFormula>
    </tableColumn>
    <tableColumn id="31" xr3:uid="{7421E3EE-0ADA-42FC-B471-49D8F139CCBE}" name="atraso FIM" dataDxfId="289">
      <calculatedColumnFormula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calculatedColumnFormula>
    </tableColumn>
    <tableColumn id="32" xr3:uid="{87CE1918-72D4-4CFA-BAC7-1DC2F74E45A9}" name="Repact" dataDxfId="288">
      <calculatedColumnFormula>IF(Projeto12[[#This Row],[Data Repactuada]]&lt;&gt;"",1,0)</calculatedColumnFormula>
    </tableColumn>
    <tableColumn id="34" xr3:uid="{558DD01B-5DF9-429F-B743-FAD637827891}" name="Concluido" dataDxfId="287">
      <calculatedColumnFormula>IF(Projeto12[[#This Row],[Concluída]]&lt;&gt;"",1,0)</calculatedColumnFormula>
    </tableColumn>
  </tableColumns>
  <tableStyleInfo name="TableStyleMedium13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62E9CB3-99C2-426C-9DBE-22A0F422B6B1}" name="Projeto13" displayName="Projeto13" ref="B173:T183" totalsRowShown="0" headerRowDxfId="286" dataDxfId="285">
  <autoFilter ref="B173:T183" xr:uid="{3A437D6B-EEF6-4FEF-9BAD-3A1C703C9F42}"/>
  <tableColumns count="19">
    <tableColumn id="5" xr3:uid="{C6B25901-D3B2-4944-87F7-5925BECCF8D7}" name="Fase" dataDxfId="284"/>
    <tableColumn id="6" xr3:uid="{A8EDB000-2DCC-4C51-8BAE-06757B85ADA5}" name="Data Início Prevista" dataDxfId="283"/>
    <tableColumn id="7" xr3:uid="{193F74AC-8C8E-4057-9DBC-9C2F74F54FB9}" name="Data Fim Prevista" dataDxfId="282"/>
    <tableColumn id="8" xr3:uid="{9B13F1E3-D13E-4495-BC86-620573C43912}" name="Status" dataDxfId="281">
      <calculatedColumnFormula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calculatedColumnFormula>
    </tableColumn>
    <tableColumn id="9" xr3:uid="{1C135872-092A-425E-902F-365F1F0CC221}" name="Produto" dataDxfId="280"/>
    <tableColumn id="10" xr3:uid="{CE909237-1C30-4205-83E1-ADC217A623D1}" name="Data Repactuada" dataDxfId="279"/>
    <tableColumn id="11" xr3:uid="{DB216F54-FF07-4A2D-BF43-2D6B6C9B363C}" name="Motivo Repactuação" dataDxfId="278"/>
    <tableColumn id="12" xr3:uid="{46C2310C-C1E6-4DCA-A801-78D6EFEF64FA}" name="Data Fim Real da Fase" dataDxfId="277"/>
    <tableColumn id="13" xr3:uid="{3B6EEA2E-B4B0-402B-AD3D-14B9EE42CD7C}" name="Atraso" dataDxfId="276">
      <calculatedColumnFormula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calculatedColumnFormula>
    </tableColumn>
    <tableColumn id="28" xr3:uid="{DE14FE4C-C482-411C-8234-127CD80B4F11}" name="Iniciada" dataDxfId="275"/>
    <tableColumn id="27" xr3:uid="{3934CFFF-ECC5-40EA-9093-9FFDC136BF61}" name="Concluída" dataDxfId="274"/>
    <tableColumn id="14" xr3:uid="{20348DBC-A8B2-491D-AF27-CB274F97D57C}" name="Cancelada" dataDxfId="273"/>
    <tableColumn id="25" xr3:uid="{0722511D-C1B1-4877-AD70-D3C4AF57ED41}" name="Coluna1" dataDxfId="272"/>
    <tableColumn id="26" xr3:uid="{6924170D-273C-4B9C-8F2D-B91F8976E948}" name="éhoje" dataDxfId="271">
      <calculatedColumnFormula>TODAY()</calculatedColumnFormula>
    </tableColumn>
    <tableColumn id="29" xr3:uid="{4837B1CA-48E4-4E0F-9961-EB9294399AB6}" name="Já iniciada" dataDxfId="270">
      <calculatedColumnFormula>IF(Projeto13[[#This Row],[Iniciada]]&lt;&gt;"",1,0)</calculatedColumnFormula>
    </tableColumn>
    <tableColumn id="30" xr3:uid="{4D233F65-EEE8-45E2-9443-D3E527698BE9}" name="atraso inicio" dataDxfId="269">
      <calculatedColumnFormula>IF(Projeto13[[#This Row],[Já iniciada]]=1,0,IF(AND(Projeto13[[#This Row],[Data Início Prevista]]&lt;&gt;0,Projeto13[[#This Row],[éhoje]]&gt;Projeto13[[#This Row],[Data Início Prevista]]),1,0))</calculatedColumnFormula>
    </tableColumn>
    <tableColumn id="31" xr3:uid="{59A3946F-AA8F-4C33-B115-FD43526D9157}" name="atraso FIM" dataDxfId="268">
      <calculatedColumnFormula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calculatedColumnFormula>
    </tableColumn>
    <tableColumn id="32" xr3:uid="{4BC9DAA0-908A-437E-AB94-BCCAE3146B93}" name="Repact" dataDxfId="267">
      <calculatedColumnFormula>IF(Projeto13[[#This Row],[Data Repactuada]]&lt;&gt;"",1,0)</calculatedColumnFormula>
    </tableColumn>
    <tableColumn id="34" xr3:uid="{EA1D591E-54E3-42BB-8776-6E2DBD5D2729}" name="Concluido" dataDxfId="266">
      <calculatedColumnFormula>IF(Projeto13[[#This Row],[Concluída]]&lt;&gt;"",1,0)</calculatedColumnFormula>
    </tableColumn>
  </tableColumns>
  <tableStyleInfo name="TableStyleMedium13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58B7EAA-3854-46C9-8707-5F41A1B339B2}" name="Projeto14" displayName="Projeto14" ref="B187:T197" totalsRowShown="0" headerRowDxfId="265" dataDxfId="264">
  <autoFilter ref="B187:T197" xr:uid="{64098213-F58E-4ED1-8BA9-FBCC38F92B3B}"/>
  <tableColumns count="19">
    <tableColumn id="5" xr3:uid="{7E5557A5-5AD1-4112-8435-F7692786ED97}" name="Fase" dataDxfId="263"/>
    <tableColumn id="6" xr3:uid="{B8EF6737-DAB4-4CE9-AABD-90C13F0D7CAC}" name="Data Início Prevista" dataDxfId="262"/>
    <tableColumn id="7" xr3:uid="{E9F37011-BD53-402C-B801-E07E849A28BC}" name="Data Fim Prevista" dataDxfId="261"/>
    <tableColumn id="8" xr3:uid="{BEE52640-23DB-45AD-B94F-DFC815B63632}" name="Status" dataDxfId="260">
      <calculatedColumnFormula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calculatedColumnFormula>
    </tableColumn>
    <tableColumn id="9" xr3:uid="{36AEE857-645C-48BC-84A8-F0D90ECF9AFE}" name="Produto" dataDxfId="259"/>
    <tableColumn id="10" xr3:uid="{3C4E56FC-CD6B-4F7B-9627-549CF1F74F3C}" name="Data Repactuada" dataDxfId="258"/>
    <tableColumn id="11" xr3:uid="{E75CE958-3A89-4D17-ADC6-03D342A656AC}" name="Motivo Repactuação" dataDxfId="257"/>
    <tableColumn id="12" xr3:uid="{6DF0FADE-556E-4C54-B724-20DBFB90FABF}" name="Data Fim Real da Fase" dataDxfId="256"/>
    <tableColumn id="13" xr3:uid="{6B3FF8A6-51FE-4765-B4CF-8F8A6770AB49}" name="Atraso" dataDxfId="255">
      <calculatedColumnFormula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calculatedColumnFormula>
    </tableColumn>
    <tableColumn id="28" xr3:uid="{0171F70E-FDE0-43AD-80C0-20F3D51539BD}" name="Iniciada" dataDxfId="254"/>
    <tableColumn id="27" xr3:uid="{5011FDB2-26B2-4A47-80A0-94295B0DEB27}" name="Concluída" dataDxfId="253"/>
    <tableColumn id="14" xr3:uid="{09FC5FC8-F36E-4074-8980-B0173951C2FB}" name="Cancelada" dataDxfId="252"/>
    <tableColumn id="25" xr3:uid="{23B08C09-64DF-4A99-B3D2-E6A17DD3D69D}" name="Coluna1" dataDxfId="251"/>
    <tableColumn id="26" xr3:uid="{2CD30A89-20FB-4CF2-BE54-182E50DADAE1}" name="éhoje" dataDxfId="250">
      <calculatedColumnFormula>TODAY()</calculatedColumnFormula>
    </tableColumn>
    <tableColumn id="29" xr3:uid="{AB4A9450-6EED-4D16-826D-DEB79BCFC338}" name="Já iniciada" dataDxfId="249">
      <calculatedColumnFormula>IF(Projeto14[[#This Row],[Iniciada]]&lt;&gt;"",1,0)</calculatedColumnFormula>
    </tableColumn>
    <tableColumn id="30" xr3:uid="{17EC95E5-3505-4610-A3A3-12503E0CEC28}" name="atraso inicio" dataDxfId="248">
      <calculatedColumnFormula>IF(Projeto14[[#This Row],[Já iniciada]]=1,0,IF(AND(Projeto14[[#This Row],[Data Início Prevista]]&lt;&gt;0,Projeto14[[#This Row],[éhoje]]&gt;Projeto14[[#This Row],[Data Início Prevista]]),1,0))</calculatedColumnFormula>
    </tableColumn>
    <tableColumn id="31" xr3:uid="{AB84A8AA-B959-4075-AD70-16137AC824C4}" name="atraso FIM" dataDxfId="247">
      <calculatedColumnFormula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calculatedColumnFormula>
    </tableColumn>
    <tableColumn id="32" xr3:uid="{19C233BB-ADDA-4E4B-850D-10B54981E6AA}" name="Repact" dataDxfId="246">
      <calculatedColumnFormula>IF(Projeto14[[#This Row],[Data Repactuada]]&lt;&gt;"",1,0)</calculatedColumnFormula>
    </tableColumn>
    <tableColumn id="34" xr3:uid="{D93FC05C-FCBC-4A4B-94CA-A49ACF65913D}" name="Concluido" dataDxfId="245">
      <calculatedColumnFormula>IF(Projeto14[[#This Row],[Concluída]]&lt;&gt;"",1,0)</calculatedColumnFormula>
    </tableColumn>
  </tableColumns>
  <tableStyleInfo name="TableStyleMedium13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BB18332-A495-42C7-B79E-987D4B152F81}" name="Projeto15" displayName="Projeto15" ref="B201:T211" totalsRowShown="0" headerRowDxfId="244" dataDxfId="243">
  <autoFilter ref="B201:T211" xr:uid="{54CD8EA5-26BB-4379-B7C0-431FCA9C20FA}"/>
  <tableColumns count="19">
    <tableColumn id="5" xr3:uid="{B29D390C-B8D5-485E-85C2-A1E53D367720}" name="Fase" dataDxfId="242"/>
    <tableColumn id="6" xr3:uid="{01F0F9CE-C3BD-41A1-AB73-6DAE0FACEF00}" name="Data Início Prevista" dataDxfId="241"/>
    <tableColumn id="7" xr3:uid="{525117AF-1DB7-4870-9CB2-E80DC7C2A4FE}" name="Data Fim Prevista" dataDxfId="240"/>
    <tableColumn id="8" xr3:uid="{E8C0717A-6202-4A4A-A0EA-AEF7D33FD7A4}" name="Status" dataDxfId="239">
      <calculatedColumnFormula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calculatedColumnFormula>
    </tableColumn>
    <tableColumn id="9" xr3:uid="{4BEAB2DD-7600-4FAD-8F87-B55F95CA3E56}" name="Produto" dataDxfId="238"/>
    <tableColumn id="10" xr3:uid="{479CF7FB-A4D6-466B-BBA1-D84B4C343EA0}" name="Data Repactuada" dataDxfId="237"/>
    <tableColumn id="11" xr3:uid="{20DCA4F7-4F21-4C0C-919C-B67384DDA8D5}" name="Motivo Repactuação" dataDxfId="236"/>
    <tableColumn id="12" xr3:uid="{D89769F1-7926-4383-BB66-65970AF8801F}" name="Data Fim Real da Fase" dataDxfId="235"/>
    <tableColumn id="13" xr3:uid="{F53EB024-99E4-48A2-A93C-3354C6C96020}" name="Atraso" dataDxfId="234">
      <calculatedColumnFormula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calculatedColumnFormula>
    </tableColumn>
    <tableColumn id="28" xr3:uid="{A655A2D8-713E-4C08-A307-0F08284BE984}" name="Iniciada" dataDxfId="233"/>
    <tableColumn id="27" xr3:uid="{91349C2E-F939-4982-91F1-54723FDDD999}" name="Concluída" dataDxfId="232"/>
    <tableColumn id="14" xr3:uid="{13060950-E137-4853-98F8-BCA4EDC02356}" name="Cancelada" dataDxfId="231"/>
    <tableColumn id="25" xr3:uid="{16BDE69C-E9CE-4FE2-9D95-F3D2F8BBBDA1}" name="Coluna1" dataDxfId="230"/>
    <tableColumn id="26" xr3:uid="{C6536836-D1E9-42AD-8EEA-28F6C5D30A0D}" name="éhoje" dataDxfId="229">
      <calculatedColumnFormula>TODAY()</calculatedColumnFormula>
    </tableColumn>
    <tableColumn id="29" xr3:uid="{CD3B7E89-5443-4FC6-B068-8E242578BEBD}" name="Já iniciada" dataDxfId="228">
      <calculatedColumnFormula>IF(Projeto15[[#This Row],[Iniciada]]&lt;&gt;"",1,0)</calculatedColumnFormula>
    </tableColumn>
    <tableColumn id="30" xr3:uid="{7371A111-7504-4622-A19D-6E87A4AF3A87}" name="atraso inicio" dataDxfId="227">
      <calculatedColumnFormula>IF(Projeto15[[#This Row],[Já iniciada]]=1,0,IF(AND(Projeto15[[#This Row],[Data Início Prevista]]&lt;&gt;0,Projeto15[[#This Row],[éhoje]]&gt;Projeto15[[#This Row],[Data Início Prevista]]),1,0))</calculatedColumnFormula>
    </tableColumn>
    <tableColumn id="31" xr3:uid="{09863F5A-6271-4853-AF68-7FC1735F8841}" name="atraso FIM" dataDxfId="226">
      <calculatedColumnFormula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calculatedColumnFormula>
    </tableColumn>
    <tableColumn id="32" xr3:uid="{154A5EAE-6D9F-4F89-99F6-C05474014889}" name="Repact" dataDxfId="225">
      <calculatedColumnFormula>IF(Projeto15[[#This Row],[Data Repactuada]]&lt;&gt;"",1,0)</calculatedColumnFormula>
    </tableColumn>
    <tableColumn id="34" xr3:uid="{188AF7B9-C4A5-4911-83F4-6C6E4CD0460F}" name="Concluido" dataDxfId="224">
      <calculatedColumnFormula>IF(Projeto15[[#This Row],[Concluída]]&lt;&gt;"",1,0)</calculatedColumnFormula>
    </tableColumn>
  </tableColumns>
  <tableStyleInfo name="TableStyleMedium13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E388365-ABBD-41B0-B616-1152D16D1C04}" name="Projeto16" displayName="Projeto16" ref="B215:T225" totalsRowShown="0" headerRowDxfId="223" dataDxfId="222">
  <autoFilter ref="B215:T225" xr:uid="{3B60E2BA-E223-4E9B-84FB-64B892E89B05}"/>
  <tableColumns count="19">
    <tableColumn id="5" xr3:uid="{C6B8C9E3-C496-490F-83EB-FD94A128AA8E}" name="Fase" dataDxfId="221"/>
    <tableColumn id="6" xr3:uid="{C4EAA139-F778-4DC7-9C0D-6A9519FF43DF}" name="Data Início Prevista" dataDxfId="220"/>
    <tableColumn id="7" xr3:uid="{AE5C37AA-9F26-4C37-B124-2F42D4FB3487}" name="Data Fim Prevista" dataDxfId="219"/>
    <tableColumn id="8" xr3:uid="{DEAB961C-6C8F-42EB-B2AC-9F942093B110}" name="Status" dataDxfId="218">
      <calculatedColumnFormula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calculatedColumnFormula>
    </tableColumn>
    <tableColumn id="9" xr3:uid="{46D7A3D6-E1B0-4F6B-BB53-4373B8D584FC}" name="Produto" dataDxfId="217"/>
    <tableColumn id="10" xr3:uid="{52BDED8A-E7EB-4C3B-90CE-D8DF132894A8}" name="Data Repactuada" dataDxfId="216"/>
    <tableColumn id="11" xr3:uid="{8DA57FE1-5701-492F-A6FF-71B0104C70B2}" name="Motivo Repactuação" dataDxfId="215"/>
    <tableColumn id="12" xr3:uid="{E116755A-40A0-479D-A1AF-D77130463FC0}" name="Data Fim Real da Fase" dataDxfId="214"/>
    <tableColumn id="13" xr3:uid="{82540985-B081-4F5A-9C2B-869D6117B164}" name="Atraso" dataDxfId="213">
      <calculatedColumnFormula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calculatedColumnFormula>
    </tableColumn>
    <tableColumn id="28" xr3:uid="{46280C64-95B2-4127-979A-F9EB8F790BC2}" name="Iniciada" dataDxfId="212"/>
    <tableColumn id="27" xr3:uid="{40896BAF-6556-4080-AAE4-7DC3CC947FC0}" name="Concluída" dataDxfId="211"/>
    <tableColumn id="14" xr3:uid="{76114A6F-244A-46FF-9162-0858DA178ED0}" name="Cancelada" dataDxfId="210"/>
    <tableColumn id="25" xr3:uid="{271BCA2F-2AB0-4B47-8535-8B370E6995A3}" name="Coluna1" dataDxfId="209"/>
    <tableColumn id="26" xr3:uid="{186A5612-BE59-4AAF-A025-BED97169D4AC}" name="éhoje" dataDxfId="208">
      <calculatedColumnFormula>TODAY()</calculatedColumnFormula>
    </tableColumn>
    <tableColumn id="29" xr3:uid="{CA27CB0B-7630-43F3-8439-E30B801BDF88}" name="Já iniciada" dataDxfId="207">
      <calculatedColumnFormula>IF(Projeto16[[#This Row],[Iniciada]]&lt;&gt;"",1,0)</calculatedColumnFormula>
    </tableColumn>
    <tableColumn id="30" xr3:uid="{1A7E0210-D103-4DB1-9BD8-A3367106C9D1}" name="atraso inicio" dataDxfId="206">
      <calculatedColumnFormula>IF(Projeto16[[#This Row],[Já iniciada]]=1,0,IF(AND(Projeto16[[#This Row],[Data Início Prevista]]&lt;&gt;0,Projeto16[[#This Row],[éhoje]]&gt;Projeto16[[#This Row],[Data Início Prevista]]),1,0))</calculatedColumnFormula>
    </tableColumn>
    <tableColumn id="31" xr3:uid="{7329E27B-8331-43AD-8F90-6E2744EE161F}" name="atraso FIM" dataDxfId="205">
      <calculatedColumnFormula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calculatedColumnFormula>
    </tableColumn>
    <tableColumn id="32" xr3:uid="{5CFE0038-E687-427E-8190-A9C232083715}" name="Repact" dataDxfId="204">
      <calculatedColumnFormula>IF(Projeto16[[#This Row],[Data Repactuada]]&lt;&gt;"",1,0)</calculatedColumnFormula>
    </tableColumn>
    <tableColumn id="34" xr3:uid="{248C998B-B8F3-453C-982B-D4D41FAF0CED}" name="Concluido" dataDxfId="203">
      <calculatedColumnFormula>IF(Projeto16[[#This Row],[Concluída]]&lt;&gt;"",1,0)</calculatedColumnFormula>
    </tableColumn>
  </tableColumns>
  <tableStyleInfo name="TableStyleMedium13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262020BE-B7B5-4CCD-8FE7-259EE1F2383B}" name="Projeto17" displayName="Projeto17" ref="B229:T239" totalsRowShown="0" headerRowDxfId="202" dataDxfId="201">
  <autoFilter ref="B229:T239" xr:uid="{C9287FD3-4B53-4323-BEFE-EE4C40349074}"/>
  <tableColumns count="19">
    <tableColumn id="5" xr3:uid="{366FC474-E7A4-41C5-8B3D-E8AB319B4615}" name="Fase" dataDxfId="200"/>
    <tableColumn id="6" xr3:uid="{3CE47A6B-8DCA-43DB-9225-C721C6BF36F2}" name="Data Início Prevista" dataDxfId="199"/>
    <tableColumn id="7" xr3:uid="{F2239830-451B-4DA7-80F7-022285EF1F99}" name="Data Fim Prevista" dataDxfId="198"/>
    <tableColumn id="8" xr3:uid="{9EFEFEC6-0A8E-4060-A9EB-BC708FD7ABC1}" name="Status" dataDxfId="197">
      <calculatedColumnFormula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calculatedColumnFormula>
    </tableColumn>
    <tableColumn id="9" xr3:uid="{ACC5A924-DEDA-4FCE-85A1-57BD5F747725}" name="Produto" dataDxfId="196"/>
    <tableColumn id="10" xr3:uid="{C365BFD9-7C38-4C48-8ADB-AC1816BED522}" name="Data Repactuada" dataDxfId="195"/>
    <tableColumn id="11" xr3:uid="{89ECE39F-F97B-4175-A71C-76367B9497D0}" name="Motivo Repactuação" dataDxfId="194"/>
    <tableColumn id="12" xr3:uid="{44085D2C-947A-48AC-B2D7-A4EAEC85C9A9}" name="Data Fim Real da Fase" dataDxfId="193"/>
    <tableColumn id="13" xr3:uid="{2379C693-81AC-41B9-B192-D72C93B99661}" name="Atraso" dataDxfId="192">
      <calculatedColumnFormula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calculatedColumnFormula>
    </tableColumn>
    <tableColumn id="28" xr3:uid="{C31632ED-112D-47F7-A5B2-CB6FEE6580F1}" name="Iniciada" dataDxfId="191"/>
    <tableColumn id="27" xr3:uid="{F46E0B34-9628-4F6A-92AB-00B12D407B06}" name="Concluída" dataDxfId="190"/>
    <tableColumn id="14" xr3:uid="{88F13569-9A88-4FA2-B0EB-E772F1CDE426}" name="Cancelada" dataDxfId="189"/>
    <tableColumn id="25" xr3:uid="{C612A7BD-721A-4BA9-A208-0F5817E5B013}" name="Coluna1" dataDxfId="188"/>
    <tableColumn id="26" xr3:uid="{3F51FC2A-7795-4BC4-9AF5-50F17A42E10D}" name="éhoje" dataDxfId="187">
      <calculatedColumnFormula>TODAY()</calculatedColumnFormula>
    </tableColumn>
    <tableColumn id="29" xr3:uid="{3A3ED0AE-3F9F-465D-8088-F91926BBC5E8}" name="Já iniciada" dataDxfId="186">
      <calculatedColumnFormula>IF(Projeto17[[#This Row],[Iniciada]]&lt;&gt;"",1,0)</calculatedColumnFormula>
    </tableColumn>
    <tableColumn id="30" xr3:uid="{3981F2A3-C08C-4084-A37E-399E170560A7}" name="atraso inicio" dataDxfId="185">
      <calculatedColumnFormula>IF(Projeto17[[#This Row],[Já iniciada]]=1,0,IF(AND(Projeto17[[#This Row],[Data Início Prevista]]&lt;&gt;0,Projeto17[[#This Row],[éhoje]]&gt;Projeto17[[#This Row],[Data Início Prevista]]),1,0))</calculatedColumnFormula>
    </tableColumn>
    <tableColumn id="31" xr3:uid="{984FFFBE-B5D8-4FAB-B40E-3AB98F34670E}" name="atraso FIM" dataDxfId="184">
      <calculatedColumnFormula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calculatedColumnFormula>
    </tableColumn>
    <tableColumn id="32" xr3:uid="{C4F6CADE-BE09-46D0-B47A-BA920DF9F10C}" name="Repact" dataDxfId="183">
      <calculatedColumnFormula>IF(Projeto17[[#This Row],[Data Repactuada]]&lt;&gt;"",1,0)</calculatedColumnFormula>
    </tableColumn>
    <tableColumn id="34" xr3:uid="{1A572C86-CC31-4585-8D93-F4A57B96976D}" name="Concluido" dataDxfId="182">
      <calculatedColumnFormula>IF(Projeto17[[#This Row],[Concluída]]&lt;&gt;"",1,0)</calculatedColumnFormula>
    </tableColumn>
  </tableColumns>
  <tableStyleInfo name="TableStyleMedium13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91BD6EFB-3EDA-4775-A036-F0BBEB4F6E4B}" name="Tabela63561221" displayName="Tabela63561221" ref="B243:T253" totalsRowShown="0" headerRowDxfId="181" dataDxfId="180">
  <autoFilter ref="B243:T253" xr:uid="{46DAA1C3-E7F3-4DB2-A304-F7C90B686288}"/>
  <tableColumns count="19">
    <tableColumn id="5" xr3:uid="{7B077414-1F4C-49CE-8AED-2775EF5DA25E}" name="Fase" dataDxfId="179"/>
    <tableColumn id="6" xr3:uid="{5E479255-6A3E-4051-8A67-A6BE4B747556}" name="Data Início Prevista" dataDxfId="178"/>
    <tableColumn id="7" xr3:uid="{740CEA17-79D0-4442-BD67-9435B0CC8F36}" name="Data Fim Prevista" dataDxfId="177"/>
    <tableColumn id="8" xr3:uid="{48D7FEA8-C300-4FBE-B210-916F44EA5FF4}" name="Status" dataDxfId="176">
      <calculatedColumnFormula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calculatedColumnFormula>
    </tableColumn>
    <tableColumn id="9" xr3:uid="{48C205AC-49E0-4D07-B88F-C96E6AFFE7D4}" name="Produto" dataDxfId="175"/>
    <tableColumn id="10" xr3:uid="{D5CE5276-FC90-41AE-A9E9-304DE556037B}" name="Data Repactuada" dataDxfId="174"/>
    <tableColumn id="11" xr3:uid="{53E59051-BB86-44D1-B7F6-DAE54E36EAC3}" name="Motivo Repactuação" dataDxfId="173"/>
    <tableColumn id="12" xr3:uid="{3EF5B46B-FA89-4EE1-BC05-5CD2CA098C9D}" name="Data Fim Real da Fase" dataDxfId="172"/>
    <tableColumn id="13" xr3:uid="{2AF2EA90-464B-4CE9-BB08-45540E282A6F}" name="Atraso" dataDxfId="171">
      <calculatedColumnFormula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calculatedColumnFormula>
    </tableColumn>
    <tableColumn id="28" xr3:uid="{61E7A53A-1CA2-4466-A6DA-88FB115ADE13}" name="Iniciada" dataDxfId="170"/>
    <tableColumn id="27" xr3:uid="{7932033D-BF35-45C1-8572-78FAE6D05993}" name="Concluída" dataDxfId="169"/>
    <tableColumn id="14" xr3:uid="{0ED7A055-9C75-44A6-ADDC-BE33BBF85CE3}" name="Cancelada" dataDxfId="168"/>
    <tableColumn id="25" xr3:uid="{B7AE0C3C-0A54-4D40-8D15-062032CA13AC}" name="Coluna1" dataDxfId="167"/>
    <tableColumn id="26" xr3:uid="{A305852B-7065-4D5F-8379-99A89E06EF48}" name="éhoje" dataDxfId="166">
      <calculatedColumnFormula>TODAY()</calculatedColumnFormula>
    </tableColumn>
    <tableColumn id="29" xr3:uid="{720497C0-207A-4713-BA9E-05DADD161F10}" name="Já iniciada" dataDxfId="165">
      <calculatedColumnFormula>IF(Tabela63561221[[#This Row],[Iniciada]]&lt;&gt;"",1,0)</calculatedColumnFormula>
    </tableColumn>
    <tableColumn id="30" xr3:uid="{8CA807C1-1542-429E-A0EE-2A37C6883B00}" name="atraso inicio" dataDxfId="164">
      <calculatedColumnFormula>IF(Tabela63561221[[#This Row],[Já iniciada]]=1,0,IF(AND(Tabela63561221[[#This Row],[Data Início Prevista]]&lt;&gt;0,Tabela63561221[[#This Row],[éhoje]]&gt;Tabela63561221[[#This Row],[Data Início Prevista]]),1,0))</calculatedColumnFormula>
    </tableColumn>
    <tableColumn id="31" xr3:uid="{42615617-760E-491E-BE0C-72402849162F}" name="atraso FIM" dataDxfId="163">
      <calculatedColumnFormula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calculatedColumnFormula>
    </tableColumn>
    <tableColumn id="32" xr3:uid="{4E61C246-96F5-4571-A9B2-E4458A5CAAEF}" name="Repact" dataDxfId="162">
      <calculatedColumnFormula>IF(Tabela63561221[[#This Row],[Data Repactuada]]&lt;&gt;"",1,0)</calculatedColumnFormula>
    </tableColumn>
    <tableColumn id="34" xr3:uid="{D652200B-792A-4F3F-B25B-D2C9182D5617}" name="Concluido" dataDxfId="161">
      <calculatedColumnFormula>IF(Tabela63561221[[#This Row],[Concluída]]&lt;&gt;"",1,0)</calculatedColumnFormula>
    </tableColumn>
  </tableColumns>
  <tableStyleInfo name="TableStyleMedium13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7C991A9-E991-45C1-AFFB-BDEB24527CC1}" name="Tabela63561222" displayName="Tabela63561222" ref="B257:T267" totalsRowShown="0" headerRowDxfId="160" dataDxfId="159">
  <autoFilter ref="B257:T267" xr:uid="{E818FDA5-2572-4C13-895B-8DE42A7B4283}"/>
  <tableColumns count="19">
    <tableColumn id="5" xr3:uid="{CF76D806-9CC3-483A-8224-ED74FF317036}" name="Fase" dataDxfId="158"/>
    <tableColumn id="6" xr3:uid="{F229FA7A-3D73-4E48-A572-101B9BF90589}" name="Data Início Prevista" dataDxfId="157"/>
    <tableColumn id="7" xr3:uid="{F40BC14A-D30C-4E32-9EF5-EE78DC7E5F68}" name="Data Fim Prevista" dataDxfId="156"/>
    <tableColumn id="8" xr3:uid="{1F8569D0-3334-420E-A878-76D6989737F4}" name="Status" dataDxfId="155">
      <calculatedColumnFormula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calculatedColumnFormula>
    </tableColumn>
    <tableColumn id="9" xr3:uid="{B9EF0932-BDF7-4F4B-82DF-F1E1B446A82C}" name="Produto" dataDxfId="154"/>
    <tableColumn id="10" xr3:uid="{275D693D-CD22-4C1E-93DB-5187694911C0}" name="Data Repactuada" dataDxfId="153"/>
    <tableColumn id="11" xr3:uid="{4F705FA8-E533-46C9-98EE-5983AAACEDD2}" name="Motivo Repactuação" dataDxfId="152"/>
    <tableColumn id="12" xr3:uid="{D90BB086-A1ED-4D89-A1E2-2FBAE25E1963}" name="Data Fim Real da Fase" dataDxfId="151"/>
    <tableColumn id="13" xr3:uid="{970F8B4C-6F2D-4C4C-B8B3-F8714D0E6CA3}" name="Atraso" dataDxfId="150">
      <calculatedColumnFormula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calculatedColumnFormula>
    </tableColumn>
    <tableColumn id="28" xr3:uid="{21BCCCC0-1CCB-4481-AA2F-5673FE041684}" name="Iniciada" dataDxfId="149"/>
    <tableColumn id="27" xr3:uid="{C43464F0-CD09-4DA1-B119-66648004409C}" name="Concluída" dataDxfId="148"/>
    <tableColumn id="14" xr3:uid="{382C6BCA-DF6A-49D6-A054-D419F9884903}" name="Cancelada" dataDxfId="147"/>
    <tableColumn id="25" xr3:uid="{FFBA9340-A484-4765-87EC-5D4ED04B1465}" name="Coluna1" dataDxfId="146"/>
    <tableColumn id="26" xr3:uid="{463DAF59-C9B8-4882-B433-8BC3BD3BFDBB}" name="éhoje" dataDxfId="145">
      <calculatedColumnFormula>TODAY()</calculatedColumnFormula>
    </tableColumn>
    <tableColumn id="29" xr3:uid="{15B8A714-C44F-48BA-8251-9FC44C909EB9}" name="Já iniciada" dataDxfId="144">
      <calculatedColumnFormula>IF(Tabela63561222[[#This Row],[Iniciada]]&lt;&gt;"",1,0)</calculatedColumnFormula>
    </tableColumn>
    <tableColumn id="30" xr3:uid="{21921A5D-E794-450F-8E7A-1B738980386B}" name="atraso inicio" dataDxfId="143">
      <calculatedColumnFormula>IF(Tabela63561222[[#This Row],[Já iniciada]]=1,0,IF(AND(Tabela63561222[[#This Row],[Data Início Prevista]]&lt;&gt;0,Tabela63561222[[#This Row],[éhoje]]&gt;Tabela63561222[[#This Row],[Data Início Prevista]]),1,0))</calculatedColumnFormula>
    </tableColumn>
    <tableColumn id="31" xr3:uid="{2A7DE566-12B5-4074-AEBF-C831302FAAAB}" name="atraso FIM" dataDxfId="142">
      <calculatedColumnFormula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calculatedColumnFormula>
    </tableColumn>
    <tableColumn id="32" xr3:uid="{70D67AF2-342D-482A-BBE9-3F18F0890F4F}" name="Repact" dataDxfId="141">
      <calculatedColumnFormula>IF(Tabela63561222[[#This Row],[Data Repactuada]]&lt;&gt;"",1,0)</calculatedColumnFormula>
    </tableColumn>
    <tableColumn id="34" xr3:uid="{AFD8F6AD-F3D3-4146-8E88-6534EE3C3506}" name="Concluido" dataDxfId="140">
      <calculatedColumnFormula>IF(Tabela63561222[[#This Row],[Concluída]]&lt;&gt;"",1,0)</calculatedColumnFormula>
    </tableColumn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2EA7275-B842-4E88-8A0A-CEFE9E228E46}" name="Projeto2" displayName="Projeto2" ref="B19:T29" totalsRowShown="0" headerRowDxfId="517" dataDxfId="516">
  <autoFilter ref="B19:T29" xr:uid="{EE1A4EB0-91A7-4A2C-892E-D57377551619}"/>
  <tableColumns count="19">
    <tableColumn id="5" xr3:uid="{2B62983A-8511-45E2-BB7A-D3A3A90DAB8C}" name="Fase" dataDxfId="515"/>
    <tableColumn id="6" xr3:uid="{F5320066-A806-4204-96E0-41A094A12BB1}" name="Data Início Prevista" dataDxfId="514"/>
    <tableColumn id="7" xr3:uid="{2E17D6B1-3507-4CE3-B406-C3BC1FF87EE3}" name="Data Fim Prevista" dataDxfId="513"/>
    <tableColumn id="8" xr3:uid="{B6ADD1D9-7B28-4F86-8B92-2F323A6DF261}" name="Status" dataDxfId="512">
      <calculatedColumnFormula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calculatedColumnFormula>
    </tableColumn>
    <tableColumn id="9" xr3:uid="{F9C15C02-8F9D-4F64-B09F-C8C6F54DAF98}" name="Produto" dataDxfId="511"/>
    <tableColumn id="10" xr3:uid="{DBD88B81-D4B4-47EE-AD09-E91DC60427BB}" name="Data Repactuada" dataDxfId="510"/>
    <tableColumn id="11" xr3:uid="{CA919E98-6182-437D-B16A-458FAD776750}" name="Motivo Repactuação" dataDxfId="509"/>
    <tableColumn id="12" xr3:uid="{94A75B0E-4C66-4B9E-8BFD-8A9456B50C34}" name="Data Fim Real da Fase" dataDxfId="508"/>
    <tableColumn id="13" xr3:uid="{05AD0870-34F0-4A63-AFD8-954A2ABB4FC9}" name="Atraso" dataDxfId="507">
      <calculatedColumnFormula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calculatedColumnFormula>
    </tableColumn>
    <tableColumn id="28" xr3:uid="{A04F245B-37E5-4BC8-A934-DD9ADB672F93}" name="Iniciada" dataDxfId="506"/>
    <tableColumn id="27" xr3:uid="{BF5F7314-57E0-4E0D-BEF1-225BED60E112}" name="Concluída" dataDxfId="505"/>
    <tableColumn id="14" xr3:uid="{D59465AA-B928-4636-A386-94AC2218F769}" name="Cancelada" dataDxfId="504"/>
    <tableColumn id="25" xr3:uid="{61356B80-1515-40D6-873F-CC5FBBBFCD8A}" name="Coluna1" dataDxfId="503"/>
    <tableColumn id="26" xr3:uid="{614A5E6F-C468-410A-9864-39E2DE27C61F}" name="éhoje" dataDxfId="502">
      <calculatedColumnFormula>TODAY()</calculatedColumnFormula>
    </tableColumn>
    <tableColumn id="29" xr3:uid="{9A5FA027-F32C-44F9-B30D-0CF2463E016F}" name="Já iniciada" dataDxfId="501">
      <calculatedColumnFormula>IF(Projeto2[[#This Row],[Iniciada]]&lt;&gt;"",1,0)</calculatedColumnFormula>
    </tableColumn>
    <tableColumn id="30" xr3:uid="{D89F992D-5A53-4659-9EBF-C203D9A2C6CE}" name="atraso inicio" dataDxfId="500">
      <calculatedColumnFormula>IF(Projeto2[[#This Row],[Já iniciada]]=1,0,IF(AND(Projeto2[[#This Row],[Data Início Prevista]]&lt;&gt;0,Projeto2[[#This Row],[éhoje]]&gt;Projeto2[[#This Row],[Data Início Prevista]]),1,0))</calculatedColumnFormula>
    </tableColumn>
    <tableColumn id="31" xr3:uid="{67F2BD3F-8E71-4B41-8779-4306F3AFD2FD}" name="atraso FIM" dataDxfId="499">
      <calculatedColumnFormula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calculatedColumnFormula>
    </tableColumn>
    <tableColumn id="32" xr3:uid="{568A6EB3-A6A4-47A9-9168-F8C942130562}" name="Repact" dataDxfId="498">
      <calculatedColumnFormula>IF(Projeto2[[#This Row],[Data Repactuada]]&lt;&gt;"",1,0)</calculatedColumnFormula>
    </tableColumn>
    <tableColumn id="34" xr3:uid="{EDD6D6EE-CD56-409B-9742-FEA02C3FF3AB}" name="Concluido" dataDxfId="497">
      <calculatedColumnFormula>IF(Projeto2[[#This Row],[Concluída]]&lt;&gt;"",1,0)</calculatedColumnFormula>
    </tableColumn>
  </tableColumns>
  <tableStyleInfo name="TableStyleMedium13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7C161A1-AB0F-47C1-ACBA-B537D847643E}" name="Tabela63561223" displayName="Tabela63561223" ref="B271:T281" totalsRowShown="0" headerRowDxfId="139" dataDxfId="138">
  <autoFilter ref="B271:T281" xr:uid="{B2AA7FD3-5496-43E6-B4C8-CC11DAC9D098}"/>
  <tableColumns count="19">
    <tableColumn id="5" xr3:uid="{B19866E0-ADD9-4FEB-9E7F-794C0791388C}" name="Fase" dataDxfId="137"/>
    <tableColumn id="6" xr3:uid="{6B5C5C02-2B2E-41B5-AA9A-6517FB45F97B}" name="Data Início Prevista" dataDxfId="136"/>
    <tableColumn id="7" xr3:uid="{18C8A87A-003E-402F-A4A1-D23430D5FC5A}" name="Data Fim Prevista" dataDxfId="135"/>
    <tableColumn id="8" xr3:uid="{0EC5687A-4501-48D8-B4E0-367CC07C8B10}" name="Status" dataDxfId="134">
      <calculatedColumnFormula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calculatedColumnFormula>
    </tableColumn>
    <tableColumn id="9" xr3:uid="{6D0B48BE-C2D7-44DC-AB1B-155F2F79E00B}" name="Produto" dataDxfId="133"/>
    <tableColumn id="10" xr3:uid="{83681F9A-6268-4DCD-8F9F-CCA1CC7FB54B}" name="Data Repactuada" dataDxfId="132"/>
    <tableColumn id="11" xr3:uid="{5D938F5B-0CE4-4F29-964B-B9B3554C49E2}" name="Motivo Repactuação" dataDxfId="131"/>
    <tableColumn id="12" xr3:uid="{9ECBEC33-4F7F-444E-8993-5192A8D28D68}" name="Data Fim Real da Fase" dataDxfId="130"/>
    <tableColumn id="13" xr3:uid="{2C364B68-1DEF-404E-8A73-C274271FD93A}" name="Atraso" dataDxfId="129">
      <calculatedColumnFormula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calculatedColumnFormula>
    </tableColumn>
    <tableColumn id="28" xr3:uid="{F704620A-9FCE-4021-BADF-C4FC55600200}" name="Iniciada" dataDxfId="128"/>
    <tableColumn id="27" xr3:uid="{17823CE9-1942-42C2-AB56-A309F203A99A}" name="Concluída" dataDxfId="127"/>
    <tableColumn id="14" xr3:uid="{F2DE1E98-8DEB-4ECC-83BC-C1A865C6953A}" name="Cancelada" dataDxfId="126"/>
    <tableColumn id="25" xr3:uid="{326F82C8-C3D1-40BE-93DA-DD3E740AAC26}" name="Coluna1" dataDxfId="125"/>
    <tableColumn id="26" xr3:uid="{0825DDFC-1A1E-4ECF-A9A0-78A85F5C991C}" name="éhoje" dataDxfId="124">
      <calculatedColumnFormula>TODAY()</calculatedColumnFormula>
    </tableColumn>
    <tableColumn id="29" xr3:uid="{CA229495-04A2-4826-BF34-7E8EBBBDA41C}" name="Já iniciada" dataDxfId="123">
      <calculatedColumnFormula>IF(Tabela63561223[[#This Row],[Iniciada]]&lt;&gt;"",1,0)</calculatedColumnFormula>
    </tableColumn>
    <tableColumn id="30" xr3:uid="{C9CDF408-97A9-423E-B8BD-F3644E835BD4}" name="atraso inicio" dataDxfId="122">
      <calculatedColumnFormula>IF(Tabela63561223[[#This Row],[Já iniciada]]=1,0,IF(AND(Tabela63561223[[#This Row],[Data Início Prevista]]&lt;&gt;0,Tabela63561223[[#This Row],[éhoje]]&gt;Tabela63561223[[#This Row],[Data Início Prevista]]),1,0))</calculatedColumnFormula>
    </tableColumn>
    <tableColumn id="31" xr3:uid="{2AB2ED9C-9CE7-4776-81A4-849F2DAD9047}" name="atraso FIM" dataDxfId="121">
      <calculatedColumnFormula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calculatedColumnFormula>
    </tableColumn>
    <tableColumn id="32" xr3:uid="{9C4B4630-7C09-422F-A5A4-CE29CE00A8CF}" name="Repact" dataDxfId="120">
      <calculatedColumnFormula>IF(Tabela63561223[[#This Row],[Data Repactuada]]&lt;&gt;"",1,0)</calculatedColumnFormula>
    </tableColumn>
    <tableColumn id="34" xr3:uid="{5C281A61-6C63-439B-A552-6398B7C52A72}" name="Concluido" dataDxfId="119">
      <calculatedColumnFormula>IF(Tabela63561223[[#This Row],[Concluída]]&lt;&gt;"",1,0)</calculatedColumnFormula>
    </tableColumn>
  </tableColumns>
  <tableStyleInfo name="TableStyleMedium13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D111ED-9FD8-4BB1-8E4E-B561F504DBDA}" name="Tabela3" displayName="Tabela3" ref="B1:J141" totalsRowShown="0" headerRowDxfId="118">
  <autoFilter ref="B1:J141" xr:uid="{04B44465-2468-4BE3-BFA5-414ED4D300D4}">
    <filterColumn colId="0">
      <customFilters>
        <customFilter operator="notEqual" val=" "/>
      </customFilters>
    </filterColumn>
    <filterColumn colId="5">
      <customFilters>
        <customFilter operator="notEqual" val=" "/>
      </customFilters>
    </filterColumn>
  </autoFilter>
  <sortState ref="B2:J141">
    <sortCondition ref="B2:B141"/>
    <sortCondition ref="G2:G141"/>
  </sortState>
  <tableColumns count="9">
    <tableColumn id="1" xr3:uid="{4A918DF1-2585-409F-A907-B304AF723D93}" name="Projeto" dataDxfId="117">
      <calculatedColumnFormula>INDEX(projetos,E2,1)</calculatedColumnFormula>
    </tableColumn>
    <tableColumn id="2" xr3:uid="{23E1D878-A6DA-46C2-84ED-4EC54155FB47}" name="Membro" dataDxfId="116"/>
    <tableColumn id="3" xr3:uid="{E4005CA8-5239-4F37-8DDA-EAABA4166514}" name="Proj/Eq" dataDxfId="115"/>
    <tableColumn id="4" xr3:uid="{C4097AFF-5E8B-4CC7-BDF2-E4380F4EB5E5}" name="Linha" dataDxfId="114"/>
    <tableColumn id="5" xr3:uid="{E94A16E8-9F54-4B8D-9816-85D2B990FBD6}" name="Coluna" dataDxfId="113"/>
    <tableColumn id="6" xr3:uid="{CA355A01-02D9-4131-8B57-A57C36921F86}" name="Servidor" dataDxfId="112">
      <calculatedColumnFormula>INDEX(projetos,E2,F2)</calculatedColumnFormula>
    </tableColumn>
    <tableColumn id="7" xr3:uid="{D85D2378-E4EF-434B-937D-0493FE7C8602}" name="Início do Projeto" dataDxfId="111">
      <calculatedColumnFormula>INDEX(projetos,E2,3)</calculatedColumnFormula>
    </tableColumn>
    <tableColumn id="8" xr3:uid="{953B70E1-8036-488F-8211-F33FF4B7395D}" name="Fim do Projeto" dataDxfId="110">
      <calculatedColumnFormula>INDEX(projetos,E2,4)</calculatedColumnFormula>
    </tableColumn>
    <tableColumn id="9" xr3:uid="{E7BA6286-B364-4CF8-8C99-AB9BA7ED2780}" name="Pacto" dataDxfId="109">
      <calculatedColumnFormula>INDEX(projetos,E2,F2+1)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78299E-9128-447C-9649-A60897529BEF}" name="Inventario" displayName="Inventario" ref="B2:EI22" totalsRowShown="0" headerRowDxfId="108">
  <autoFilter ref="B2:EI22" xr:uid="{931CA62B-BCC7-4FA2-9C1A-85F4E0B1E27C}">
    <filterColumn colId="1">
      <filters>
        <filter val="CGEBC"/>
      </filters>
    </filterColumn>
  </autoFilter>
  <tableColumns count="138">
    <tableColumn id="1" xr3:uid="{9218A850-C2EF-4139-AEEA-CA8123C8E1CD}" name="Unidade"/>
    <tableColumn id="2" xr3:uid="{3754DB82-386E-4610-92A7-79E69EDBFCC6}" name="Subunidade"/>
    <tableColumn id="3" xr3:uid="{5F56979C-959B-4A5D-A327-CB2450AF8446}" name="Processo"/>
    <tableColumn id="4" xr3:uid="{DD938514-9CFE-4075-AB2D-56083E7011FD}" name="Projeto"/>
    <tableColumn id="5" xr3:uid="{500DECC0-4B74-418F-8CE7-7EE1C5698C7C}" name="PO1"/>
    <tableColumn id="6" xr3:uid="{F14B80C4-3B4E-4E2E-8D2F-D2BAC1A50D24}" name="PO2"/>
    <tableColumn id="7" xr3:uid="{AE57DF8C-DDAF-4427-9DFA-157C1C10A557}" name="PO3"/>
    <tableColumn id="8" xr3:uid="{6BEA30F0-AA9D-4675-8E9B-BAA599AF1B28}" name="PO4"/>
    <tableColumn id="9" xr3:uid="{F512AC7F-DDEB-4854-A3ED-265708522879}" name="PO5"/>
    <tableColumn id="10" xr3:uid="{48897CC3-96C0-4571-8FD0-D363BB6F2FDC}" name="Gerente"/>
    <tableColumn id="138" xr3:uid="{2A7C4FAE-1DF8-4FAD-8441-ACBFCD96EEB4}" name="Projeto2"/>
    <tableColumn id="137" xr3:uid="{AFF8C5AC-0A21-4636-A4FF-E048336F445D}" name="tap" dataDxfId="107">
      <calculatedColumnFormula>ROW(A1)</calculatedColumnFormula>
    </tableColumn>
    <tableColumn id="11" xr3:uid="{1723EFD4-DC54-440A-AFDC-98B8333E0F3A}" name="Inicio"/>
    <tableColumn id="12" xr3:uid="{29878B18-EC8E-4F91-B82E-AD7778EF814B}" name="Fim"/>
    <tableColumn id="13" xr3:uid="{BD342D5F-8C44-441D-BB02-D29C4E02AD7C}" name="Eq1"/>
    <tableColumn id="49" xr3:uid="{BB4BFE26-0010-4BA8-8755-20B7DC8AC1BE}" name="Eq1pac"/>
    <tableColumn id="14" xr3:uid="{CEF4665F-5B96-440C-8956-5AF5C2AD2C19}" name="Eq2"/>
    <tableColumn id="50" xr3:uid="{1E36EE63-D632-4ACA-AB77-36B4F96C7F87}" name="Eq2Pac"/>
    <tableColumn id="15" xr3:uid="{37F92020-CEC3-4442-A3BF-F8F53D82DFDE}" name="Eq3"/>
    <tableColumn id="78" xr3:uid="{916B5EC7-8684-41C3-AD44-FE058C9D290F}" name="Eq3Pac" dataDxfId="106">
      <calculatedColumnFormula>'9'!$AD$14</calculatedColumnFormula>
    </tableColumn>
    <tableColumn id="16" xr3:uid="{60BE8C29-FE6B-436A-B04B-F49507F25960}" name="Eq4"/>
    <tableColumn id="83" xr3:uid="{CB519C3A-FDD1-4433-888C-889BD393D1BE}" name="Eq4Pac" dataDxfId="105">
      <calculatedColumnFormula>'1'!$AD$15</calculatedColumnFormula>
    </tableColumn>
    <tableColumn id="17" xr3:uid="{5F64F88D-F821-415A-8FBA-1F2402BAFDEE}" name="Eq5"/>
    <tableColumn id="84" xr3:uid="{A2B69C81-CD47-4855-9BF2-AC62B5107037}" name="Eq5Pac" dataDxfId="104">
      <calculatedColumnFormula>'1'!$AD$16</calculatedColumnFormula>
    </tableColumn>
    <tableColumn id="18" xr3:uid="{9B1E6339-F7C9-41B1-AEF2-B96808FC6DB0}" name="Eq6"/>
    <tableColumn id="85" xr3:uid="{5623B660-81DF-4249-A73D-5A2AD07E0227}" name="Eq6Pac" dataDxfId="103">
      <calculatedColumnFormula>'1'!$AD$17</calculatedColumnFormula>
    </tableColumn>
    <tableColumn id="86" xr3:uid="{D9904640-9BCE-4446-B1D5-A99B7A40669A}" name="Eq7"/>
    <tableColumn id="19" xr3:uid="{53EE11B9-1677-42C6-A1E5-1505D7F95546}" name="Eq7Pac" dataDxfId="102">
      <calculatedColumnFormula>'1'!$AD$18</calculatedColumnFormula>
    </tableColumn>
    <tableColumn id="20" xr3:uid="{38AED617-7F02-4E75-B916-26D0A715539D}" name="E1"/>
    <tableColumn id="21" xr3:uid="{EFE5A16D-513E-422F-9462-EFE48D1976EF}" name="IN1" dataDxfId="101"/>
    <tableColumn id="22" xr3:uid="{86CB7AE8-7003-4DA7-A27F-04795F85D26A}" name="F1" dataDxfId="100"/>
    <tableColumn id="51" xr3:uid="{643E7EA9-91DD-4251-8716-F4860EBDB690}" name="inic1" dataDxfId="99"/>
    <tableColumn id="52" xr3:uid="{FE02D805-FC77-4679-B908-38F7C110A015}" name="Conc1" dataDxfId="98">
      <calculatedColumnFormula>MonitorProjetos!L6</calculatedColumnFormula>
    </tableColumn>
    <tableColumn id="53" xr3:uid="{2FF7A811-38F9-4983-9F0B-44696FF76D5A}" name="Canc1" dataDxfId="97"/>
    <tableColumn id="91" xr3:uid="{D734A5EC-B344-4A93-A3EC-7B4D6068009A}" name="Repac1" dataDxfId="96">
      <calculatedColumnFormula>MonitorProjetos!$G$6</calculatedColumnFormula>
    </tableColumn>
    <tableColumn id="90" xr3:uid="{AD5F6739-931D-4755-8C66-297647972990}" name="Status1" dataDxfId="95"/>
    <tableColumn id="89" xr3:uid="{0470FAB7-F6B8-4DF4-83C3-8050BC9A1ECD}" name="FR1" dataDxfId="94"/>
    <tableColumn id="88" xr3:uid="{B2360428-134E-4123-A94F-6570EC4CC99A}" name="Atr1" dataDxfId="93"/>
    <tableColumn id="87" xr3:uid="{813F0EC4-AEF4-4DC3-9F24-4AD90F66836F}" name="P1" dataDxfId="92"/>
    <tableColumn id="23" xr3:uid="{76DB2D5F-35A5-4568-A25C-9E8A8F3FC0F5}" name="E2"/>
    <tableColumn id="24" xr3:uid="{A7FCAE16-9359-4862-B5DE-2CEC1409707C}" name="IN2" dataDxfId="91"/>
    <tableColumn id="25" xr3:uid="{6CC0D01F-35B1-4A94-8409-45E9E9954405}" name="F2" dataDxfId="90"/>
    <tableColumn id="54" xr3:uid="{2BED359F-3C87-4EEF-A4E6-A2F9169CCB05}" name="inic2" dataDxfId="89">
      <calculatedColumnFormula>MonitorProjetos!K7</calculatedColumnFormula>
    </tableColumn>
    <tableColumn id="55" xr3:uid="{817FB2B4-B518-4BBB-846C-3D05DD76F045}" name="conc2" dataDxfId="88"/>
    <tableColumn id="56" xr3:uid="{DF6204BB-BFD4-43D0-ABB2-7B46DD6CC4E9}" name="canc2" dataDxfId="87"/>
    <tableColumn id="92" xr3:uid="{5A9E1993-D7CA-4DBD-BB64-A2622D2AB6EE}" name="Repac2" dataDxfId="86"/>
    <tableColumn id="93" xr3:uid="{490E3ACA-1FB4-4B42-BEDB-D8FC3ECBC2ED}" name="Status2" dataDxfId="85"/>
    <tableColumn id="94" xr3:uid="{285BE587-DA83-4761-AD7C-0C7043E487F4}" name="FR2" dataDxfId="84"/>
    <tableColumn id="95" xr3:uid="{40421773-E2FA-45BF-B337-6CE6F1722A5D}" name="Atr2" dataDxfId="83"/>
    <tableColumn id="96" xr3:uid="{9369785B-47B0-40DB-ACCB-58E73B4AC687}" name="P2" dataDxfId="82"/>
    <tableColumn id="26" xr3:uid="{F3A91AE7-9D5C-446A-9567-1923FE42DA2E}" name="E3"/>
    <tableColumn id="27" xr3:uid="{0D9914D5-C804-45A3-8F66-60D39A1A7D98}" name="IN3" dataDxfId="81"/>
    <tableColumn id="28" xr3:uid="{F11CEB61-B0A4-4849-B1CD-D5680FFC5131}" name="F3" dataDxfId="80"/>
    <tableColumn id="57" xr3:uid="{96B9AED5-BBBE-43CD-846A-61F128199B4C}" name="inic3" dataDxfId="79"/>
    <tableColumn id="58" xr3:uid="{9A7F1098-45F4-4F1D-B8F9-4EA18A42E443}" name="conc3" dataDxfId="78"/>
    <tableColumn id="59" xr3:uid="{7B97A717-8351-4C73-88A4-405D5889E855}" name="canc3" dataDxfId="77"/>
    <tableColumn id="97" xr3:uid="{DCE0C67F-2459-4D2D-B2D8-3E9A9FE3D018}" name="Repac3" dataDxfId="76"/>
    <tableColumn id="98" xr3:uid="{DF9C9774-9E1B-4461-B27B-44D39851806E}" name="Status3" dataDxfId="75"/>
    <tableColumn id="99" xr3:uid="{6C2F56E4-C461-4D9C-8C2D-E2FFADD88F65}" name="FR3" dataDxfId="74"/>
    <tableColumn id="100" xr3:uid="{AEA79860-1C86-40C9-BCC3-4C62F6692DD9}" name="Atr3" dataDxfId="73"/>
    <tableColumn id="101" xr3:uid="{1FE388B5-3BC2-4FE7-BFBD-C2E368264E07}" name="P3" dataDxfId="72"/>
    <tableColumn id="29" xr3:uid="{65FDA1FD-F4F5-4414-924E-83358DA75342}" name="E4"/>
    <tableColumn id="30" xr3:uid="{FBCF11A4-CFA6-41DE-A9F8-9B43489CCF91}" name="IN4" dataDxfId="71"/>
    <tableColumn id="31" xr3:uid="{6BEBFADC-3749-472C-B00C-C9686224E828}" name="F4" dataDxfId="70"/>
    <tableColumn id="60" xr3:uid="{81A15054-192B-41E2-894D-8F8C59F5F279}" name="inic4" dataDxfId="69"/>
    <tableColumn id="61" xr3:uid="{0704B0E0-09A9-401D-A351-F23A2C6FC20E}" name="conc4" dataDxfId="68"/>
    <tableColumn id="62" xr3:uid="{006AD9E9-27B9-4C6F-A0DD-8028F458F36E}" name="canc4" dataDxfId="67"/>
    <tableColumn id="102" xr3:uid="{1EF1D15F-0FF3-4450-9AD8-C0197FC27EAB}" name="Repac4" dataDxfId="66"/>
    <tableColumn id="103" xr3:uid="{7922A975-8977-4C4A-A42F-0D5F3D4D0C1F}" name="Status4" dataDxfId="65"/>
    <tableColumn id="104" xr3:uid="{A53DD69C-E26B-4019-A2B6-DE9974734969}" name="FR4" dataDxfId="64"/>
    <tableColumn id="105" xr3:uid="{9EB1E047-E2F1-4A54-AB03-378BACDBE2F3}" name="Atr4" dataDxfId="63"/>
    <tableColumn id="106" xr3:uid="{4D994DE9-A1BD-4B34-A472-46C9D44D00C3}" name="P4" dataDxfId="62"/>
    <tableColumn id="32" xr3:uid="{C9782CFE-4485-47DD-ADB9-4FB3BF3D56A9}" name="E5"/>
    <tableColumn id="33" xr3:uid="{AA0E4517-9DDC-4873-A3EE-0A872D4F8DB1}" name="IN5" dataDxfId="61"/>
    <tableColumn id="34" xr3:uid="{4F8B52A8-8F70-4BFD-AE92-93E6A06394E3}" name="F5" dataDxfId="60"/>
    <tableColumn id="63" xr3:uid="{2187DBA3-199E-493A-8A70-FBCBDA8C1013}" name="inic5" dataDxfId="59"/>
    <tableColumn id="64" xr3:uid="{1969F94D-5F73-45EF-818C-E9429A9950B8}" name="conc5" dataDxfId="58"/>
    <tableColumn id="65" xr3:uid="{581C725B-110F-4BE5-B2B2-C757211C4EEC}" name="canc5" dataDxfId="57"/>
    <tableColumn id="107" xr3:uid="{F1130584-B930-4830-AE6E-9B64E9D847EA}" name="Repac5" dataDxfId="56"/>
    <tableColumn id="108" xr3:uid="{29BDC733-3C13-46FF-8330-499BF355A675}" name="Status5" dataDxfId="55"/>
    <tableColumn id="109" xr3:uid="{CA1DB0AE-EE24-4A67-9556-6E49D59CB882}" name="FR5" dataDxfId="54"/>
    <tableColumn id="110" xr3:uid="{6D606411-5C6E-48A6-8FC3-6C6490A9413F}" name="Atr5" dataDxfId="53"/>
    <tableColumn id="111" xr3:uid="{200E0EE4-D94D-4A9B-97F0-779728149F6E}" name="P5" dataDxfId="52"/>
    <tableColumn id="35" xr3:uid="{9EBCD2AD-3E56-4FD2-8739-7A4843318368}" name="E6"/>
    <tableColumn id="36" xr3:uid="{719EDB97-517A-4004-AD9A-211F52D6C32E}" name="IN6" dataDxfId="51"/>
    <tableColumn id="37" xr3:uid="{3EE005FC-C8F8-487C-8903-6A0561BFCD4B}" name="F6" dataDxfId="50"/>
    <tableColumn id="66" xr3:uid="{4AEC3DC6-C76E-4BB7-823D-2A50B510D4AF}" name="inic6" dataDxfId="49"/>
    <tableColumn id="67" xr3:uid="{F4FAF079-C70A-4FFE-B8B2-7C6C5F316E32}" name="conc6" dataDxfId="48"/>
    <tableColumn id="68" xr3:uid="{1A0F1DC0-9525-4811-AE13-DCA236F079F9}" name="canc6" dataDxfId="47"/>
    <tableColumn id="112" xr3:uid="{06629925-10AF-4192-81E9-ADCB5FB11DC5}" name="Repac6" dataDxfId="46"/>
    <tableColumn id="113" xr3:uid="{1409970D-F1E7-47ED-804B-1325CD0863A9}" name="Status6" dataDxfId="45"/>
    <tableColumn id="114" xr3:uid="{1B7B6673-53B3-46F9-8796-36DB8A49ABCA}" name="FR6" dataDxfId="44"/>
    <tableColumn id="115" xr3:uid="{E2378F2B-0A97-480C-877F-702FCF5C19BA}" name="Atr6" dataDxfId="43"/>
    <tableColumn id="116" xr3:uid="{6A5B2C36-70B9-4113-8018-5A482F20AF48}" name="P6" dataDxfId="42"/>
    <tableColumn id="38" xr3:uid="{B5D77571-B9A8-49B3-8FEB-E5D0F0284825}" name="E7"/>
    <tableColumn id="39" xr3:uid="{8EAE3AAF-5975-47BE-96D5-219F52B405B0}" name="IN7" dataDxfId="41"/>
    <tableColumn id="40" xr3:uid="{F8138D71-5D0B-4AC4-A5E9-684614375A87}" name="F7" dataDxfId="40"/>
    <tableColumn id="69" xr3:uid="{6E2C7BA0-ED4D-44AA-AE95-0B592AAC88DD}" name="inic7" dataDxfId="39"/>
    <tableColumn id="70" xr3:uid="{33BF8B02-CD7E-42A4-9D42-527CE59E28FA}" name="conc7" dataDxfId="38"/>
    <tableColumn id="71" xr3:uid="{738AC6B3-204E-422A-ADFA-FB7C51380299}" name="canc7" dataDxfId="37"/>
    <tableColumn id="117" xr3:uid="{364AC03A-6545-4A3F-94CC-2891E1CEC516}" name="Repac7" dataDxfId="36"/>
    <tableColumn id="118" xr3:uid="{452BF4C6-7F72-4008-9980-5106D9936734}" name="Status7" dataDxfId="35"/>
    <tableColumn id="119" xr3:uid="{18778A3A-A685-4BBD-B9B7-3340CF16805E}" name="FR7" dataDxfId="34"/>
    <tableColumn id="120" xr3:uid="{3096C1E0-C268-4AF7-8D22-D845E72A9070}" name="Atr7" dataDxfId="33"/>
    <tableColumn id="121" xr3:uid="{7B5E20F9-D695-48BC-BE86-B2E1539D55DB}" name="P7" dataDxfId="32"/>
    <tableColumn id="41" xr3:uid="{6C21E29E-CD20-483F-9466-409BEAB7AFB0}" name="E8"/>
    <tableColumn id="42" xr3:uid="{87A49024-B345-4261-9092-BDED6B513D39}" name="IN8" dataDxfId="31"/>
    <tableColumn id="43" xr3:uid="{7A6234D7-1CB8-4AA6-850E-60CE6E345A94}" name="F8" dataDxfId="30"/>
    <tableColumn id="72" xr3:uid="{C30722EA-2B97-4C11-B86A-DD5190471DCB}" name="inic8" dataDxfId="29"/>
    <tableColumn id="73" xr3:uid="{2363AB4F-3D5F-4469-A700-E4050C000F5E}" name="conc8" dataDxfId="28"/>
    <tableColumn id="74" xr3:uid="{C5519241-1E7D-4126-B1D7-AB349ECE6A51}" name="canc8" dataDxfId="27"/>
    <tableColumn id="122" xr3:uid="{0DBBE3A8-4CEC-4DBA-A52E-FC303D01070C}" name="Repac8" dataDxfId="26"/>
    <tableColumn id="123" xr3:uid="{F628B008-68AE-452F-9501-DEB9A8AF439B}" name="Status8" dataDxfId="25"/>
    <tableColumn id="124" xr3:uid="{1613DD87-703F-427A-93A5-020B4E477059}" name="FR8" dataDxfId="24"/>
    <tableColumn id="125" xr3:uid="{BA4F36CF-09E2-48E9-8FF8-BE9816200C18}" name="Atr8" dataDxfId="23"/>
    <tableColumn id="126" xr3:uid="{44BEC490-7159-42A8-B4C0-3B21E04E9895}" name="P8" dataDxfId="22"/>
    <tableColumn id="44" xr3:uid="{A96E3C17-42B8-48FB-A867-253D0AD602B0}" name="E9"/>
    <tableColumn id="45" xr3:uid="{EFB40527-A70C-472E-8D9A-FCD0128D400D}" name="IN9" dataDxfId="21"/>
    <tableColumn id="46" xr3:uid="{ED93817F-F457-4C1D-A431-3F713080194C}" name="F9" dataDxfId="20"/>
    <tableColumn id="75" xr3:uid="{5EE3306D-0CA1-4CF5-BEE8-62945C6CBC1B}" name="inic9" dataDxfId="19"/>
    <tableColumn id="76" xr3:uid="{07A68D93-EC1C-4492-A274-7F7C9F0D118A}" name="conc9" dataDxfId="18"/>
    <tableColumn id="77" xr3:uid="{F2063381-595F-46C3-9B32-DDE311520A04}" name="canc9" dataDxfId="17"/>
    <tableColumn id="127" xr3:uid="{8B757CFE-B9DC-4CE3-A669-26D470872BC7}" name="Repac9" dataDxfId="16"/>
    <tableColumn id="128" xr3:uid="{6277F5A8-DF46-4F49-B718-AE59C8E70204}" name="Status9" dataDxfId="15"/>
    <tableColumn id="129" xr3:uid="{CEB81E06-07AA-4B42-AEF9-276A9E481A95}" name="FR9" dataDxfId="14"/>
    <tableColumn id="130" xr3:uid="{08EF1B89-D11C-4DF2-804B-2D7C46FF45F3}" name="Atr9" dataDxfId="13"/>
    <tableColumn id="131" xr3:uid="{F78EC95A-A769-44CE-A3D8-8BF8F38A4048}" name="P9" dataDxfId="12"/>
    <tableColumn id="47" xr3:uid="{853427B5-DF42-4F4C-8D18-F4EA64A0B169}" name="E10"/>
    <tableColumn id="48" xr3:uid="{B0527E38-F777-411F-85F8-C6BE1CA40408}" name="IN10" dataDxfId="11"/>
    <tableColumn id="82" xr3:uid="{AE2BA0B3-5334-4BF3-A964-8E9F8C93AB26}" name="F10" dataDxfId="10"/>
    <tableColumn id="81" xr3:uid="{35396857-2E4A-41E4-8300-B001243B184C}" name="inic10" dataDxfId="9"/>
    <tableColumn id="80" xr3:uid="{200944BE-C2F3-46D8-AF3A-F36785FD5102}" name="conc10" dataDxfId="8"/>
    <tableColumn id="136" xr3:uid="{4527BAF7-70C2-46A8-9BE8-E1DBFAB82188}" name="canc10" dataDxfId="7"/>
    <tableColumn id="135" xr3:uid="{1B35AA69-2729-4D76-9851-110D7254EB65}" name="Repac10" dataDxfId="6"/>
    <tableColumn id="134" xr3:uid="{E4A9F040-D65F-43F2-A9AB-0A5568ADCE2D}" name="Status10" dataDxfId="5"/>
    <tableColumn id="133" xr3:uid="{2AFBDDD7-F089-4483-9C8C-CF1C02CB3625}" name="FR10" dataDxfId="4"/>
    <tableColumn id="132" xr3:uid="{6975A786-8BF7-41C5-8932-27F4A98FD245}" name="Atr10" dataDxfId="3"/>
    <tableColumn id="79" xr3:uid="{B9DEF97C-907E-41FA-86B4-232BEA478638}" name="P10" dataDxfId="2"/>
  </tableColumns>
  <tableStyleInfo name="TableStyleMedium13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80FE8973-0F02-47C4-B90D-3FCC3129FDF6}" name="Tabela23" displayName="Tabela23" ref="A1:A150" totalsRowShown="0" headerRowDxfId="1">
  <autoFilter ref="A1:A150" xr:uid="{248B1EAD-57D3-4787-8210-B85253A3BE13}"/>
  <tableColumns count="1">
    <tableColumn id="1" xr3:uid="{E1668CE9-9944-444B-AF30-147034B41B58}" name="Coluna1" dataDxfId="0">
      <calculatedColumnFormula>A1+31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A4138C0-8807-4999-B0DB-D243A4BFCC74}" name="Projeto3" displayName="Projeto3" ref="B33:T43" totalsRowShown="0" headerRowDxfId="496" dataDxfId="495">
  <autoFilter ref="B33:T43" xr:uid="{231077DA-562D-41E0-8EDB-E0EB1E6790A4}"/>
  <tableColumns count="19">
    <tableColumn id="5" xr3:uid="{FE4852D3-D629-40A1-B842-F47406C22395}" name="Fase" dataDxfId="494"/>
    <tableColumn id="6" xr3:uid="{E5F146AB-F32F-4FB1-AAA6-D8802ED3E143}" name="Data Início Prevista" dataDxfId="493"/>
    <tableColumn id="7" xr3:uid="{46CA9A2F-0724-4B2E-BA91-76427116F144}" name="Data Fim Prevista" dataDxfId="492"/>
    <tableColumn id="8" xr3:uid="{97A1DA5F-3E65-416E-AEF9-002A050352E4}" name="Status" dataDxfId="491">
      <calculatedColumnFormula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calculatedColumnFormula>
    </tableColumn>
    <tableColumn id="9" xr3:uid="{EF319695-2BA7-4B5B-BC3E-BC8C619F2561}" name="Produto" dataDxfId="490"/>
    <tableColumn id="10" xr3:uid="{FC4D3FBC-C8EF-430C-B929-EEB06654252E}" name="Data Repactuada" dataDxfId="489"/>
    <tableColumn id="11" xr3:uid="{4B27EA29-8E03-4A2D-B63C-DE1260ADA8BD}" name="Motivo Repactuação" dataDxfId="488"/>
    <tableColumn id="12" xr3:uid="{4FF8DEAE-6E1C-4A2B-8609-52B9C8233DC2}" name="Data Fim Real da Fase" dataDxfId="487"/>
    <tableColumn id="13" xr3:uid="{B4CAC3FE-8F81-4F52-B850-2767F8AD2B65}" name="Atraso" dataDxfId="486">
      <calculatedColumnFormula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calculatedColumnFormula>
    </tableColumn>
    <tableColumn id="28" xr3:uid="{C34FF610-B142-41E9-AC8D-B425956F1B83}" name="Iniciada" dataDxfId="485"/>
    <tableColumn id="27" xr3:uid="{51F545A6-B02A-4F3D-A935-A7D237A9A973}" name="Concluída" dataDxfId="484"/>
    <tableColumn id="14" xr3:uid="{1567BDCD-2BDB-4268-8076-96621D7BACFD}" name="Cancelada" dataDxfId="483"/>
    <tableColumn id="25" xr3:uid="{009DB570-5717-480A-97F6-8AB66D35391D}" name="Coluna1" dataDxfId="482"/>
    <tableColumn id="26" xr3:uid="{D701F294-0742-4489-8BE8-043D5E29F21B}" name="éhoje" dataDxfId="481">
      <calculatedColumnFormula>TODAY()</calculatedColumnFormula>
    </tableColumn>
    <tableColumn id="29" xr3:uid="{B57C0938-19FD-42CE-8B65-41C25AC5F4E9}" name="Já iniciada" dataDxfId="480">
      <calculatedColumnFormula>IF(Projeto3[[#This Row],[Iniciada]]&lt;&gt;"",1,0)</calculatedColumnFormula>
    </tableColumn>
    <tableColumn id="30" xr3:uid="{8154B3D6-43B5-43AE-AC1D-8A0FEE4DEDCA}" name="atraso inicio" dataDxfId="479">
      <calculatedColumnFormula>IF(Projeto3[[#This Row],[Já iniciada]]=1,0,IF(AND(Projeto3[[#This Row],[Data Início Prevista]]&lt;&gt;0,Projeto3[[#This Row],[éhoje]]&gt;Projeto3[[#This Row],[Data Início Prevista]]),1,0))</calculatedColumnFormula>
    </tableColumn>
    <tableColumn id="31" xr3:uid="{4091A434-5B77-4657-91D1-DDBCE251C64A}" name="atraso FIM" dataDxfId="478">
      <calculatedColumnFormula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calculatedColumnFormula>
    </tableColumn>
    <tableColumn id="32" xr3:uid="{5A6FE3EF-A146-4AAC-A960-6CFF58F6BD09}" name="Repact" dataDxfId="477">
      <calculatedColumnFormula>IF(Projeto3[[#This Row],[Data Repactuada]]&lt;&gt;"",1,0)</calculatedColumnFormula>
    </tableColumn>
    <tableColumn id="34" xr3:uid="{140B8CDC-DFB2-4F8D-B303-54A4623B668F}" name="Concluido" dataDxfId="476">
      <calculatedColumnFormula>IF(Projeto3[[#This Row],[Concluída]]&lt;&gt;"",1,0)</calculatedColumnFormula>
    </tableColumn>
  </tableColumns>
  <tableStyleInfo name="TableStyleMedium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5E7035D-CE92-4DE2-8D19-7B9C81C0AFC1}" name="Projeto4" displayName="Projeto4" ref="B47:T57" totalsRowShown="0" headerRowDxfId="475" dataDxfId="474">
  <autoFilter ref="B47:T57" xr:uid="{96C7DBC1-70F3-464C-963E-22667D98EC68}"/>
  <tableColumns count="19">
    <tableColumn id="5" xr3:uid="{6A2C43F6-1E60-475D-9378-A4CA81FFC1C7}" name="Fase" dataDxfId="473"/>
    <tableColumn id="6" xr3:uid="{437EAB81-8EB7-4195-8435-41911FC71EDF}" name="Data Início Prevista" dataDxfId="472"/>
    <tableColumn id="7" xr3:uid="{66D1058F-0E92-4FF3-B080-E120595FF03D}" name="Data Fim Prevista" dataDxfId="471"/>
    <tableColumn id="8" xr3:uid="{47AA4636-5CBF-4285-A48B-FD3CFC62379F}" name="Status" dataDxfId="470">
      <calculatedColumnFormula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calculatedColumnFormula>
    </tableColumn>
    <tableColumn id="9" xr3:uid="{6D51BAF8-1017-4D27-95DB-44B25DA1030E}" name="Produto" dataDxfId="469"/>
    <tableColumn id="10" xr3:uid="{8BFD9E63-1732-445D-A4A5-BE128E99EC1E}" name="Data Repactuada" dataDxfId="468"/>
    <tableColumn id="11" xr3:uid="{1541746A-2525-4B65-8BEB-0442D7681C35}" name="Motivo Repactuação" dataDxfId="467"/>
    <tableColumn id="12" xr3:uid="{CA00A2E0-6AF0-4C2F-BF3F-2EABD31A9259}" name="Data Fim Real da Fase" dataDxfId="466"/>
    <tableColumn id="13" xr3:uid="{E91F1CF4-6F45-4A04-A4AD-3C52FB4FFF4C}" name="Atraso" dataDxfId="465">
      <calculatedColumnFormula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calculatedColumnFormula>
    </tableColumn>
    <tableColumn id="28" xr3:uid="{9C2B5796-6E95-487C-9CE4-A4C8CD360D1D}" name="Iniciada" dataDxfId="464"/>
    <tableColumn id="27" xr3:uid="{E9277EDC-2D99-4F51-B62A-CCC17C4E948A}" name="Concluída" dataDxfId="463"/>
    <tableColumn id="14" xr3:uid="{1F74C775-0806-44B4-A019-DDB1F0E45801}" name="Cancelada" dataDxfId="462"/>
    <tableColumn id="25" xr3:uid="{34AF6E8B-116B-41E9-8DB9-D3D8D71950A8}" name="Coluna1" dataDxfId="461"/>
    <tableColumn id="26" xr3:uid="{0BD2099E-EA4C-46D8-97A7-AB80FBDC03EE}" name="éhoje" dataDxfId="460">
      <calculatedColumnFormula>TODAY()</calculatedColumnFormula>
    </tableColumn>
    <tableColumn id="29" xr3:uid="{54F9AB05-2EA1-49C5-9119-56D9CD57FDC5}" name="Já iniciada" dataDxfId="459">
      <calculatedColumnFormula>IF(Projeto4[[#This Row],[Iniciada]]&lt;&gt;"",1,0)</calculatedColumnFormula>
    </tableColumn>
    <tableColumn id="30" xr3:uid="{757CC0EE-4A38-4CD7-9821-E5FBA7FE7F18}" name="atraso inicio" dataDxfId="458">
      <calculatedColumnFormula>IF(Projeto4[[#This Row],[Já iniciada]]=1,0,IF(AND(Projeto4[[#This Row],[Data Início Prevista]]&lt;&gt;0,Projeto4[[#This Row],[éhoje]]&gt;Projeto4[[#This Row],[Data Início Prevista]]),1,0))</calculatedColumnFormula>
    </tableColumn>
    <tableColumn id="31" xr3:uid="{148B6F49-9DB9-4E1D-9140-3E817D5DB590}" name="atraso FIM" dataDxfId="457">
      <calculatedColumnFormula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calculatedColumnFormula>
    </tableColumn>
    <tableColumn id="32" xr3:uid="{144A67FB-D530-40BE-AAD6-37621336CE80}" name="Repact" dataDxfId="456">
      <calculatedColumnFormula>IF(Projeto4[[#This Row],[Data Repactuada]]&lt;&gt;"",1,0)</calculatedColumnFormula>
    </tableColumn>
    <tableColumn id="34" xr3:uid="{51E50157-F647-4371-9EBA-8058961F6D96}" name="Concluido" dataDxfId="455">
      <calculatedColumnFormula>IF(Projeto4[[#This Row],[Concluída]]&lt;&gt;"",1,0)</calculatedColumnFormula>
    </tableColumn>
  </tableColumns>
  <tableStyleInfo name="TableStyleMedium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3C5DFE8-230C-49EC-9C58-509414DA41CC}" name="Projeto5" displayName="Projeto5" ref="B61:T71" totalsRowShown="0" headerRowDxfId="454" dataDxfId="453">
  <autoFilter ref="B61:T71" xr:uid="{14E34ABC-9C74-4A2E-8A36-BB4A350364CF}"/>
  <tableColumns count="19">
    <tableColumn id="5" xr3:uid="{F255A768-E2AF-4A4D-A0A9-514A7327D7E7}" name="Fase" dataDxfId="452"/>
    <tableColumn id="6" xr3:uid="{E27EFB64-E5D0-444A-9DEB-E41E7C293A14}" name="Data Início Prevista" dataDxfId="451"/>
    <tableColumn id="7" xr3:uid="{E7CB3D8C-53EC-4971-A4BB-1F6D106BC3E0}" name="Data Fim Prevista" dataDxfId="450"/>
    <tableColumn id="8" xr3:uid="{A803AB24-19C1-40D0-B7F4-756EC9F71CEB}" name="Status" dataDxfId="449">
      <calculatedColumnFormula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calculatedColumnFormula>
    </tableColumn>
    <tableColumn id="9" xr3:uid="{77B887EC-F27A-4497-9F80-AEDEBBD4462B}" name="Produto" dataDxfId="448"/>
    <tableColumn id="10" xr3:uid="{B8D03DFD-9827-402E-80E5-98E7A4728B20}" name="Data Repactuada" dataDxfId="447"/>
    <tableColumn id="11" xr3:uid="{8ED20FAA-D954-4CAF-9C9D-A63448DB5E80}" name="Motivo Repactuação" dataDxfId="446"/>
    <tableColumn id="12" xr3:uid="{7ABC4684-659E-4D38-9242-441E3496F993}" name="Data Fim Real da Fase" dataDxfId="445"/>
    <tableColumn id="13" xr3:uid="{0072A940-B869-4B9D-A334-FCF157E30AAE}" name="Atraso" dataDxfId="444">
      <calculatedColumnFormula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calculatedColumnFormula>
    </tableColumn>
    <tableColumn id="28" xr3:uid="{5CC8AD14-715F-403A-81AF-818B5B71057C}" name="Iniciada" dataDxfId="443"/>
    <tableColumn id="27" xr3:uid="{3A78E290-7CAF-4315-AF45-ACD97A483E78}" name="Concluída" dataDxfId="442"/>
    <tableColumn id="14" xr3:uid="{D815405F-8922-486D-BFDE-D5E6EDB99343}" name="Cancelada" dataDxfId="441"/>
    <tableColumn id="25" xr3:uid="{ACD2128E-C4C5-4325-9CA0-551FA0431882}" name="Coluna1" dataDxfId="440"/>
    <tableColumn id="26" xr3:uid="{154421FD-94B7-4D37-9BEB-03673B7FA51D}" name="éhoje" dataDxfId="439">
      <calculatedColumnFormula>TODAY()</calculatedColumnFormula>
    </tableColumn>
    <tableColumn id="29" xr3:uid="{8DF699CB-7593-4ACF-BD72-1ECC89952EDF}" name="Já iniciada" dataDxfId="438">
      <calculatedColumnFormula>IF(Projeto5[[#This Row],[Iniciada]]&lt;&gt;"",1,0)</calculatedColumnFormula>
    </tableColumn>
    <tableColumn id="30" xr3:uid="{E8C944AF-FECC-4662-91F2-9AE5E602B1BC}" name="atraso inicio" dataDxfId="437">
      <calculatedColumnFormula>IF(Projeto5[[#This Row],[Já iniciada]]=1,0,IF(AND(Projeto5[[#This Row],[Data Início Prevista]]&lt;&gt;0,Projeto5[[#This Row],[éhoje]]&gt;Projeto5[[#This Row],[Data Início Prevista]]),1,0))</calculatedColumnFormula>
    </tableColumn>
    <tableColumn id="31" xr3:uid="{3B76EF6B-FCE9-4C41-AC78-BBCD94478386}" name="atraso FIM" dataDxfId="436">
      <calculatedColumnFormula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calculatedColumnFormula>
    </tableColumn>
    <tableColumn id="32" xr3:uid="{EBE2C5A3-7D09-45FA-AF67-D461C47E542D}" name="Repact" dataDxfId="435">
      <calculatedColumnFormula>IF(Projeto5[[#This Row],[Data Repactuada]]&lt;&gt;"",1,0)</calculatedColumnFormula>
    </tableColumn>
    <tableColumn id="34" xr3:uid="{C142437E-18C2-4E80-9B5B-CEB7FFE9C264}" name="Concluido" dataDxfId="434">
      <calculatedColumnFormula>IF(Projeto5[[#This Row],[Concluída]]&lt;&gt;"",1,0)</calculatedColumnFormula>
    </tableColumn>
  </tableColumns>
  <tableStyleInfo name="TableStyleMedium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70B1EC4-251A-4706-9FD0-767612B7F700}" name="Projeto6" displayName="Projeto6" ref="B75:T85" totalsRowShown="0" headerRowDxfId="433" dataDxfId="432">
  <autoFilter ref="B75:T85" xr:uid="{98E6EF26-FDCC-45FD-A329-5B7329EDAA78}"/>
  <tableColumns count="19">
    <tableColumn id="5" xr3:uid="{54247BA6-E63B-424D-9A98-AEFBF64317A6}" name="Fase" dataDxfId="431"/>
    <tableColumn id="6" xr3:uid="{1A068F01-63F6-48A2-9526-7F9158BEE475}" name="Data Início Prevista" dataDxfId="430"/>
    <tableColumn id="7" xr3:uid="{CEADD817-596F-46A1-B62E-1D626E88FEBB}" name="Data Fim Prevista" dataDxfId="429"/>
    <tableColumn id="8" xr3:uid="{F9CFD127-EC98-438A-85F0-DB21AF357253}" name="Status" dataDxfId="428">
      <calculatedColumnFormula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calculatedColumnFormula>
    </tableColumn>
    <tableColumn id="9" xr3:uid="{A93C496E-2850-4CBB-B2C5-1831CA4C61C5}" name="Produto" dataDxfId="427"/>
    <tableColumn id="10" xr3:uid="{AAA2F3FB-DACA-47A1-9F5C-7700B12F8F2A}" name="Data Repactuada" dataDxfId="426"/>
    <tableColumn id="11" xr3:uid="{1E62E077-A0B0-44D1-9CD7-BECF2FCCFFB0}" name="Motivo Repactuação" dataDxfId="425"/>
    <tableColumn id="12" xr3:uid="{D5873BC0-4CEB-47F9-AF3A-7381B71B8086}" name="Data Fim Real da Fase" dataDxfId="424"/>
    <tableColumn id="13" xr3:uid="{24652106-0CB5-49CE-96D5-FA550FB37442}" name="Atraso" dataDxfId="423">
      <calculatedColumnFormula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calculatedColumnFormula>
    </tableColumn>
    <tableColumn id="28" xr3:uid="{3414AC89-D260-4600-8B94-C1FF6613FD0F}" name="Iniciada" dataDxfId="422"/>
    <tableColumn id="27" xr3:uid="{9DA4FDA0-8D6A-4183-B526-15F1BA1F96CA}" name="Concluída" dataDxfId="421"/>
    <tableColumn id="14" xr3:uid="{439038EF-C53A-4AC2-8207-44D42234254F}" name="Cancelada" dataDxfId="420"/>
    <tableColumn id="25" xr3:uid="{8505AC65-5EB3-4B06-B59E-513C3A24B22B}" name="Coluna1" dataDxfId="419"/>
    <tableColumn id="26" xr3:uid="{346B368D-7837-4C71-A5C8-6D7C580F3A91}" name="éhoje" dataDxfId="418">
      <calculatedColumnFormula>TODAY()</calculatedColumnFormula>
    </tableColumn>
    <tableColumn id="29" xr3:uid="{627CABCF-C8D9-4E1A-95E0-9CA5355291C5}" name="Já iniciada" dataDxfId="417">
      <calculatedColumnFormula>IF(Projeto6[[#This Row],[Iniciada]]&lt;&gt;"",1,0)</calculatedColumnFormula>
    </tableColumn>
    <tableColumn id="30" xr3:uid="{8F706DFC-0C80-4890-B630-91B7FEE7A03D}" name="atraso inicio" dataDxfId="416">
      <calculatedColumnFormula>IF(Projeto6[[#This Row],[Já iniciada]]=1,0,IF(AND(Projeto6[[#This Row],[Data Início Prevista]]&lt;&gt;0,Projeto6[[#This Row],[éhoje]]&gt;Projeto6[[#This Row],[Data Início Prevista]]),1,0))</calculatedColumnFormula>
    </tableColumn>
    <tableColumn id="31" xr3:uid="{67AA9F7A-7319-488E-A61E-C257C5844899}" name="atraso FIM" dataDxfId="415">
      <calculatedColumnFormula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calculatedColumnFormula>
    </tableColumn>
    <tableColumn id="32" xr3:uid="{190E1665-1BA5-4E42-A5EA-D752AC32A78F}" name="Repact" dataDxfId="414">
      <calculatedColumnFormula>IF(Projeto6[[#This Row],[Data Repactuada]]&lt;&gt;"",1,0)</calculatedColumnFormula>
    </tableColumn>
    <tableColumn id="34" xr3:uid="{05282383-8947-4CA1-8DDB-AD027FF29E46}" name="Concluido" dataDxfId="413">
      <calculatedColumnFormula>IF(Projeto6[[#This Row],[Concluída]]&lt;&gt;"",1,0)</calculatedColumnFormula>
    </tableColumn>
  </tableColumns>
  <tableStyleInfo name="TableStyleMedium1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9FAAB1D-21A5-464E-95C2-6AA3F78DE758}" name="Projeto7" displayName="Projeto7" ref="B89:T99" totalsRowShown="0" headerRowDxfId="412" dataDxfId="411">
  <autoFilter ref="B89:T99" xr:uid="{3A55ED54-A884-498F-9DC6-0D24AA7BABAA}"/>
  <tableColumns count="19">
    <tableColumn id="5" xr3:uid="{7D0A499A-9CF6-4558-BC92-E81E619BB6A3}" name="Fase" dataDxfId="410"/>
    <tableColumn id="6" xr3:uid="{1D56C266-116C-47F3-954E-F240E47E081B}" name="Data Início Prevista" dataDxfId="409"/>
    <tableColumn id="7" xr3:uid="{598AAF7F-F300-49D6-B74A-4C2A983E56B7}" name="Data Fim Prevista" dataDxfId="408"/>
    <tableColumn id="8" xr3:uid="{B9DECB6B-A4AE-420C-9D49-4B90179D4825}" name="Status" dataDxfId="407">
      <calculatedColumnFormula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calculatedColumnFormula>
    </tableColumn>
    <tableColumn id="9" xr3:uid="{78D1857F-2E7B-4A8A-A419-583F91D8ACC1}" name="Produto" dataDxfId="406"/>
    <tableColumn id="10" xr3:uid="{91BF0FEC-C62B-44CE-8B5F-1D4178EF7488}" name="Data Repactuada" dataDxfId="405"/>
    <tableColumn id="11" xr3:uid="{0EFB3152-5F46-4C24-82DA-F703F345B75D}" name="Motivo Repactuação" dataDxfId="404"/>
    <tableColumn id="12" xr3:uid="{DE865A82-D41E-4FD3-8EB1-8BA96C535862}" name="Data Fim Real da Fase" dataDxfId="403"/>
    <tableColumn id="13" xr3:uid="{AD10F4DC-BD5A-447D-8D7E-86D34DB77D70}" name="Atraso" dataDxfId="402">
      <calculatedColumnFormula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calculatedColumnFormula>
    </tableColumn>
    <tableColumn id="28" xr3:uid="{9EE0BA23-6D2F-47C9-954A-2E184206FB63}" name="Iniciada" dataDxfId="401"/>
    <tableColumn id="27" xr3:uid="{A33185F9-C855-4951-A676-01A463D19BE2}" name="Concluída" dataDxfId="400"/>
    <tableColumn id="14" xr3:uid="{E8C7FAAF-DBB9-4A3D-AD6D-DA45220961D0}" name="Cancelada" dataDxfId="399"/>
    <tableColumn id="25" xr3:uid="{CD9A2E16-8C56-427B-9BB7-4C296A5DBDC1}" name="Coluna1" dataDxfId="398"/>
    <tableColumn id="26" xr3:uid="{32C419B8-0E6D-4474-A05F-0602F4F41BC0}" name="éhoje" dataDxfId="397">
      <calculatedColumnFormula>TODAY()</calculatedColumnFormula>
    </tableColumn>
    <tableColumn id="29" xr3:uid="{88DE2B62-9BAA-4295-859C-ECCA156FBEC2}" name="Já iniciada" dataDxfId="396">
      <calculatedColumnFormula>IF(Projeto7[[#This Row],[Iniciada]]&lt;&gt;"",1,0)</calculatedColumnFormula>
    </tableColumn>
    <tableColumn id="30" xr3:uid="{17FD07CE-235D-47F3-AE12-A2B74F59B204}" name="atraso inicio" dataDxfId="395">
      <calculatedColumnFormula>IF(Projeto7[[#This Row],[Já iniciada]]=1,0,IF(AND(Projeto7[[#This Row],[Data Início Prevista]]&lt;&gt;0,Projeto7[[#This Row],[éhoje]]&gt;Projeto7[[#This Row],[Data Início Prevista]]),1,0))</calculatedColumnFormula>
    </tableColumn>
    <tableColumn id="31" xr3:uid="{EAF28D40-194D-48A4-8D9C-17886E33DC8C}" name="atraso FIM" dataDxfId="394">
      <calculatedColumnFormula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calculatedColumnFormula>
    </tableColumn>
    <tableColumn id="32" xr3:uid="{FBC894CA-72F5-46DC-BFA0-994166F0B7BC}" name="Repact" dataDxfId="393">
      <calculatedColumnFormula>IF(Projeto7[[#This Row],[Data Repactuada]]&lt;&gt;"",1,0)</calculatedColumnFormula>
    </tableColumn>
    <tableColumn id="34" xr3:uid="{68BC3BE7-E85C-4081-915A-6476C074CAC7}" name="Concluido" dataDxfId="392">
      <calculatedColumnFormula>IF(Projeto7[[#This Row],[Concluída]]&lt;&gt;"",1,0)</calculatedColumnFormula>
    </tableColumn>
  </tableColumns>
  <tableStyleInfo name="TableStyleMedium1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55F0C32-C74F-4EF5-B63D-55199826DD19}" name="Projeto8" displayName="Projeto8" ref="B103:T113" totalsRowShown="0" headerRowDxfId="391" dataDxfId="390">
  <autoFilter ref="B103:T113" xr:uid="{CA5D3D93-7ED7-4FB8-A9B1-435D0499196B}"/>
  <tableColumns count="19">
    <tableColumn id="5" xr3:uid="{F9B6F7A5-B1C3-4F75-B36F-43517BDB396C}" name="Fase" dataDxfId="389"/>
    <tableColumn id="6" xr3:uid="{F40DE78C-12AD-4925-8B00-B876CD2CF367}" name="Data Início Prevista" dataDxfId="388"/>
    <tableColumn id="7" xr3:uid="{4326D2DA-258A-4FB7-BF29-66D8108B402A}" name="Data Fim Prevista" dataDxfId="387"/>
    <tableColumn id="8" xr3:uid="{14AA03B0-266A-4695-8CA1-60F49BFE6BAA}" name="Status" dataDxfId="386">
      <calculatedColumnFormula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calculatedColumnFormula>
    </tableColumn>
    <tableColumn id="9" xr3:uid="{8A757820-C1C9-47A2-AC6D-9F35E8118198}" name="Produto" dataDxfId="385"/>
    <tableColumn id="10" xr3:uid="{83D4EABE-845C-4AC8-9EE6-605ECF6D1663}" name="Data Repactuada" dataDxfId="384"/>
    <tableColumn id="11" xr3:uid="{6850CC92-59C4-4FF1-ADA2-5E4EDA91B858}" name="Motivo Repactuação" dataDxfId="383"/>
    <tableColumn id="12" xr3:uid="{08D260AE-E581-49A8-B88A-AA9B329A84CF}" name="Data Fim Real da Fase" dataDxfId="382"/>
    <tableColumn id="13" xr3:uid="{A420347C-4FE7-43A2-AD3E-541B30D2601A}" name="Atraso" dataDxfId="381">
      <calculatedColumnFormula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calculatedColumnFormula>
    </tableColumn>
    <tableColumn id="28" xr3:uid="{A92CCEC8-776B-4222-88DF-FBD7589FCEFC}" name="Iniciada" dataDxfId="380"/>
    <tableColumn id="27" xr3:uid="{47D4A5B0-8368-4831-98FF-74BA0797A11F}" name="Concluída" dataDxfId="379"/>
    <tableColumn id="14" xr3:uid="{9215EC8F-6CCB-47CB-9939-14F6E1B06F45}" name="Cancelada" dataDxfId="378"/>
    <tableColumn id="25" xr3:uid="{B013F05F-5B98-4A86-A1B1-BBD3B8389E80}" name="Coluna1" dataDxfId="377"/>
    <tableColumn id="26" xr3:uid="{D834701D-7330-4796-9830-4918A191BADB}" name="éhoje" dataDxfId="376">
      <calculatedColumnFormula>TODAY()</calculatedColumnFormula>
    </tableColumn>
    <tableColumn id="29" xr3:uid="{8E187B53-A1C6-4E24-8255-774E9D86A69D}" name="Já iniciada" dataDxfId="375">
      <calculatedColumnFormula>IF(Projeto8[[#This Row],[Iniciada]]&lt;&gt;"",1,0)</calculatedColumnFormula>
    </tableColumn>
    <tableColumn id="30" xr3:uid="{6AC9D2C9-5BF3-4014-88F9-4D3DF2837529}" name="atraso inicio" dataDxfId="374">
      <calculatedColumnFormula>IF(Projeto8[[#This Row],[Já iniciada]]=1,0,IF(AND(Projeto8[[#This Row],[Data Início Prevista]]&lt;&gt;0,Projeto8[[#This Row],[éhoje]]&gt;Projeto8[[#This Row],[Data Início Prevista]]),1,0))</calculatedColumnFormula>
    </tableColumn>
    <tableColumn id="31" xr3:uid="{DF8F9461-206E-4365-A976-C86257D36D1B}" name="atraso FIM" dataDxfId="373">
      <calculatedColumnFormula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calculatedColumnFormula>
    </tableColumn>
    <tableColumn id="32" xr3:uid="{4E7DE615-3EA1-486E-9529-3E218AB85653}" name="Repact" dataDxfId="372">
      <calculatedColumnFormula>IF(Projeto8[[#This Row],[Data Repactuada]]&lt;&gt;"",1,0)</calculatedColumnFormula>
    </tableColumn>
    <tableColumn id="34" xr3:uid="{E365F7CF-33CC-4A8B-91FD-C8E58FF4A875}" name="Concluido" dataDxfId="371">
      <calculatedColumnFormula>IF(Projeto8[[#This Row],[Concluída]]&lt;&gt;"",1,0)</calculatedColumnFormula>
    </tableColumn>
  </tableColumns>
  <tableStyleInfo name="TableStyleMedium1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3315D6E-D0C7-4110-82A6-9E807DF448BC}" name="Projeto9" displayName="Projeto9" ref="B117:T127" totalsRowShown="0" headerRowDxfId="370" dataDxfId="369">
  <autoFilter ref="B117:T127" xr:uid="{CA16E5C9-7533-4901-AE67-8AD4BAE2F6AE}"/>
  <tableColumns count="19">
    <tableColumn id="5" xr3:uid="{523931AC-D2A6-4D73-844E-CA9DFB762584}" name="Fase" dataDxfId="368"/>
    <tableColumn id="6" xr3:uid="{3D328642-AA13-4F0C-AB03-414919739A70}" name="Data Início Prevista" dataDxfId="367"/>
    <tableColumn id="7" xr3:uid="{13243F07-0521-4554-B39C-CFDA2D0BC064}" name="Data Fim Prevista" dataDxfId="366"/>
    <tableColumn id="8" xr3:uid="{80EDEC0E-4B37-44BE-BEDF-12F31D6E9629}" name="Status" dataDxfId="365">
      <calculatedColumnFormula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calculatedColumnFormula>
    </tableColumn>
    <tableColumn id="9" xr3:uid="{45F72C7D-7561-4A5A-8022-41E93DA5C3B7}" name="Produto" dataDxfId="364"/>
    <tableColumn id="10" xr3:uid="{453ECC46-3497-4EDE-83A4-B463E542612A}" name="Data Repactuada" dataDxfId="363"/>
    <tableColumn id="11" xr3:uid="{1C7A75CC-FD8B-4E29-BB0C-02D7914F20BC}" name="Motivo Repactuação" dataDxfId="362"/>
    <tableColumn id="12" xr3:uid="{990ABFBB-D530-4B89-9573-C99F512D51FC}" name="Data Fim Real da Fase" dataDxfId="361"/>
    <tableColumn id="13" xr3:uid="{4F866B6A-DF94-4ECF-963A-6C3AE5A90D28}" name="Atraso" dataDxfId="360">
      <calculatedColumnFormula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calculatedColumnFormula>
    </tableColumn>
    <tableColumn id="28" xr3:uid="{2FB83E7F-7B7A-430F-9B2F-673434EFB642}" name="Iniciada" dataDxfId="359"/>
    <tableColumn id="27" xr3:uid="{AF8E064A-FC7C-44B8-8768-B56C73957A6F}" name="Concluída" dataDxfId="358"/>
    <tableColumn id="14" xr3:uid="{156AA7B5-0F6C-45FD-AC20-F83EC6BC0E3E}" name="Cancelada" dataDxfId="357"/>
    <tableColumn id="25" xr3:uid="{81F997BC-2797-4DA3-B731-A016DDBD0279}" name="Coluna1" dataDxfId="356"/>
    <tableColumn id="26" xr3:uid="{6F48B433-EADE-4100-B465-A7F907369F8A}" name="éhoje" dataDxfId="355">
      <calculatedColumnFormula>TODAY()</calculatedColumnFormula>
    </tableColumn>
    <tableColumn id="29" xr3:uid="{4169B8DF-AE25-4DC4-8659-35D64D3CA10D}" name="Já iniciada" dataDxfId="354">
      <calculatedColumnFormula>IF(Projeto9[[#This Row],[Iniciada]]&lt;&gt;"",1,0)</calculatedColumnFormula>
    </tableColumn>
    <tableColumn id="30" xr3:uid="{FB7C9138-913F-40B8-8A1C-30FD332E6C02}" name="atraso inicio" dataDxfId="353">
      <calculatedColumnFormula>IF(Projeto9[[#This Row],[Já iniciada]]=1,0,IF(AND(Projeto9[[#This Row],[Data Início Prevista]]&lt;&gt;0,Projeto9[[#This Row],[éhoje]]&gt;Projeto9[[#This Row],[Data Início Prevista]]),1,0))</calculatedColumnFormula>
    </tableColumn>
    <tableColumn id="31" xr3:uid="{B713AC0C-D445-468B-8096-E505A14E5CC4}" name="atraso FIM" dataDxfId="352">
      <calculatedColumnFormula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calculatedColumnFormula>
    </tableColumn>
    <tableColumn id="32" xr3:uid="{E4040DD1-C581-4375-8504-38C9061AFC0C}" name="Repact" dataDxfId="351">
      <calculatedColumnFormula>IF(Projeto9[[#This Row],[Data Repactuada]]&lt;&gt;"",1,0)</calculatedColumnFormula>
    </tableColumn>
    <tableColumn id="34" xr3:uid="{CE064B7B-0005-409F-8446-49D1CF1C4892}" name="Concluido" dataDxfId="350">
      <calculatedColumnFormula>IF(Projeto9[[#This Row],[Concluída]]&lt;&gt;"",1,0)</calculatedColumnFormula>
    </tableColumn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ulano.silva@cgu.gov.br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fulano.silva@cgu.gov.br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fulano.silva@cgu.gov.br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fulano.silva@cgu.gov.br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fulano.silva@cgu.gov.br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fulano.silva@cgu.gov.br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fulano.silva@cgu.gov.br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fulano.silva@cgu.gov.br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fulano.silva@cgu.gov.br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fulano.silva@cgu.gov.br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fulano.silva@cgu.gov.b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fulano.silva@cgu.gov.br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fulano.silva@cgu.gov.br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mailto:fulano.silva@cgu.gov.br" TargetMode="External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1" Type="http://schemas.openxmlformats.org/officeDocument/2006/relationships/printerSettings" Target="../printerSettings/printerSettings2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ulano.silva@cgu.gov.b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ulano.silva@cgu.gov.b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fulano.silva@cgu.gov.b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ulano.silva@cgu.gov.br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fulano.silva@cgu.gov.br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fulano.silva@cgu.gov.br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fulano.silva@cgu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32258-77C3-4AF7-87B2-C3C8DCFAA82F}">
  <sheetPr codeName="Planilha1"/>
  <dimension ref="A1:AH48"/>
  <sheetViews>
    <sheetView showGridLines="0" showRowColHeaders="0" zoomScale="130" zoomScaleNormal="130" workbookViewId="0">
      <selection activeCell="A20" sqref="A20:AG20"/>
    </sheetView>
  </sheetViews>
  <sheetFormatPr defaultColWidth="0" defaultRowHeight="15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94" t="s">
        <v>17</v>
      </c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5" t="s">
        <v>18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6"/>
      <c r="J13" s="96"/>
      <c r="K13" s="96"/>
      <c r="L13" s="96"/>
      <c r="M13" s="96"/>
      <c r="N13" s="96"/>
      <c r="O13" s="96"/>
      <c r="P13" s="96"/>
      <c r="Q13" s="96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6"/>
      <c r="J14" s="96"/>
      <c r="K14" s="96"/>
      <c r="L14" s="96"/>
      <c r="M14" s="96"/>
      <c r="N14" s="96"/>
      <c r="O14" s="96"/>
      <c r="P14" s="96"/>
      <c r="Q14" s="96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6"/>
      <c r="J15" s="96"/>
      <c r="K15" s="96"/>
      <c r="L15" s="96"/>
      <c r="M15" s="96"/>
      <c r="N15" s="96"/>
      <c r="O15" s="96"/>
      <c r="P15" s="96"/>
      <c r="Q15" s="96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6"/>
      <c r="J16" s="96"/>
      <c r="K16" s="96"/>
      <c r="L16" s="96"/>
      <c r="M16" s="96"/>
      <c r="N16" s="96"/>
      <c r="O16" s="96"/>
      <c r="P16" s="96"/>
      <c r="Q16" s="96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6"/>
      <c r="J17" s="96"/>
      <c r="K17" s="96"/>
      <c r="L17" s="96"/>
      <c r="M17" s="96"/>
      <c r="N17" s="96"/>
      <c r="O17" s="96"/>
      <c r="P17" s="96"/>
      <c r="Q17" s="96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6"/>
      <c r="J18" s="96"/>
      <c r="K18" s="96"/>
      <c r="L18" s="96"/>
      <c r="M18" s="96"/>
      <c r="N18" s="96"/>
      <c r="O18" s="96"/>
      <c r="P18" s="96"/>
      <c r="Q18" s="96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49"/>
      <c r="AA40" s="50"/>
      <c r="AB40" s="50"/>
      <c r="AC40" s="51"/>
      <c r="AD40" s="49"/>
      <c r="AE40" s="50"/>
      <c r="AF40" s="50"/>
      <c r="AG40" s="51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uTbz0J1Ve0isfy+TJM048Mzcyg00YSnQd9aLdyenmTqmJzHrJ5ussimvqu/vtOieStItJc+8Um2sDVBWh83Cqg==" saltValue="a6lfBDPU/fEdDnVSUMQ0HA==" spinCount="100000" sheet="1"/>
  <mergeCells count="105">
    <mergeCell ref="I17:Q17"/>
    <mergeCell ref="R17:AC17"/>
    <mergeCell ref="AD17:AG17"/>
    <mergeCell ref="I18:Q18"/>
    <mergeCell ref="R18:AC18"/>
    <mergeCell ref="AD18:AG18"/>
    <mergeCell ref="I15:Q15"/>
    <mergeCell ref="R15:AC15"/>
    <mergeCell ref="AD15:AG15"/>
    <mergeCell ref="I16:Q16"/>
    <mergeCell ref="R16:AC16"/>
    <mergeCell ref="AD16:AG16"/>
    <mergeCell ref="AD41:AG41"/>
    <mergeCell ref="Z35:AC35"/>
    <mergeCell ref="AD35:AG35"/>
    <mergeCell ref="B36:Y36"/>
    <mergeCell ref="Z36:AC36"/>
    <mergeCell ref="AD36:AG36"/>
    <mergeCell ref="B37:Y37"/>
    <mergeCell ref="Z37:AC37"/>
    <mergeCell ref="AD37:AG37"/>
    <mergeCell ref="Z39:AC39"/>
    <mergeCell ref="AD39:AG39"/>
    <mergeCell ref="A46:G46"/>
    <mergeCell ref="AD31:AG31"/>
    <mergeCell ref="Z31:AC31"/>
    <mergeCell ref="B31:Y31"/>
    <mergeCell ref="AD32:AG32"/>
    <mergeCell ref="Z32:AC32"/>
    <mergeCell ref="B32:Y32"/>
    <mergeCell ref="B33:Y33"/>
    <mergeCell ref="Z33:AC33"/>
    <mergeCell ref="AD33:AG33"/>
    <mergeCell ref="A43:G43"/>
    <mergeCell ref="A45:G45"/>
    <mergeCell ref="K45:S45"/>
    <mergeCell ref="V45:AB45"/>
    <mergeCell ref="B38:Y38"/>
    <mergeCell ref="Z38:AC38"/>
    <mergeCell ref="AD38:AG38"/>
    <mergeCell ref="B39:Y39"/>
    <mergeCell ref="B34:Y34"/>
    <mergeCell ref="Z34:AC34"/>
    <mergeCell ref="AD34:AG34"/>
    <mergeCell ref="B35:Y35"/>
    <mergeCell ref="B41:Y41"/>
    <mergeCell ref="Z41:AC41"/>
    <mergeCell ref="A28:G28"/>
    <mergeCell ref="H28:AG28"/>
    <mergeCell ref="A29:G29"/>
    <mergeCell ref="H29:AG29"/>
    <mergeCell ref="A30:AG30"/>
    <mergeCell ref="A25:G25"/>
    <mergeCell ref="H25:AG25"/>
    <mergeCell ref="A26:G26"/>
    <mergeCell ref="H26:AG26"/>
    <mergeCell ref="A27:G27"/>
    <mergeCell ref="H27:AG27"/>
    <mergeCell ref="A22:G22"/>
    <mergeCell ref="H22:AG22"/>
    <mergeCell ref="A23:G23"/>
    <mergeCell ref="H23:AG23"/>
    <mergeCell ref="A24:G24"/>
    <mergeCell ref="H24:AG24"/>
    <mergeCell ref="A19:G19"/>
    <mergeCell ref="H19:AG19"/>
    <mergeCell ref="A20:AG20"/>
    <mergeCell ref="A21:G21"/>
    <mergeCell ref="H21:AG21"/>
    <mergeCell ref="A11:G11"/>
    <mergeCell ref="H11:Q11"/>
    <mergeCell ref="R11:AA11"/>
    <mergeCell ref="AB11:AG11"/>
    <mergeCell ref="A7:G7"/>
    <mergeCell ref="A8:G8"/>
    <mergeCell ref="R8:V8"/>
    <mergeCell ref="H7:L7"/>
    <mergeCell ref="A12:G18"/>
    <mergeCell ref="I12:Q12"/>
    <mergeCell ref="R12:AC12"/>
    <mergeCell ref="AD12:AG12"/>
    <mergeCell ref="I13:Q13"/>
    <mergeCell ref="R13:AC13"/>
    <mergeCell ref="AD13:AG13"/>
    <mergeCell ref="I14:Q14"/>
    <mergeCell ref="R14:AC14"/>
    <mergeCell ref="AD14:AG14"/>
    <mergeCell ref="M7:Q7"/>
    <mergeCell ref="R7:W7"/>
    <mergeCell ref="X7:AC7"/>
    <mergeCell ref="AD7:AG7"/>
    <mergeCell ref="M8:Q8"/>
    <mergeCell ref="W8:Y8"/>
    <mergeCell ref="A2:AG2"/>
    <mergeCell ref="A4:AG4"/>
    <mergeCell ref="A5:G5"/>
    <mergeCell ref="H5:AG5"/>
    <mergeCell ref="A6:G6"/>
    <mergeCell ref="H6:AG6"/>
    <mergeCell ref="A9:G9"/>
    <mergeCell ref="H9:AG9"/>
    <mergeCell ref="A10:G10"/>
    <mergeCell ref="H10:AG10"/>
    <mergeCell ref="Z8:AG8"/>
    <mergeCell ref="H8:L8"/>
  </mergeCells>
  <hyperlinks>
    <hyperlink ref="R12" r:id="rId1" xr:uid="{DF7DD09D-1F8B-4E28-9088-241D1D1190D9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date" allowBlank="1" showInputMessage="1" showErrorMessage="1" error="DD/MM/AAAA" xr:uid="{E9F55693-9EA4-4767-92AE-14AEB0731828}">
          <x14:formula1>
            <xm:f>Listas!$C$1</xm:f>
          </x14:formula1>
          <x14:formula2>
            <xm:f>Listas!$C$2</xm:f>
          </x14:formula2>
          <xm:sqref>Z32:AG41 AB11:AG11</xm:sqref>
        </x14:dataValidation>
        <x14:dataValidation type="date" allowBlank="1" showInputMessage="1" showErrorMessage="1" error="DD/MM/AAAA" xr:uid="{EDE65294-E733-4BFF-AE7E-F3F1439CC075}">
          <x14:formula1>
            <xm:f>Listas!C1</xm:f>
          </x14:formula1>
          <x14:formula2>
            <xm:f>Listas!C2</xm:f>
          </x14:formula2>
          <xm:sqref>H11:Q11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9DAF7-5E9C-4A19-8369-FB453B87FE11}">
  <sheetPr codeName="Planilha10"/>
  <dimension ref="A1:AH48"/>
  <sheetViews>
    <sheetView showGridLines="0" showRowColHeaders="0" workbookViewId="0">
      <selection activeCell="B32" sqref="B32:Y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 t="s">
        <v>412</v>
      </c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>
        <v>43647</v>
      </c>
      <c r="AA32" s="110"/>
      <c r="AB32" s="110"/>
      <c r="AC32" s="111"/>
      <c r="AD32" s="109">
        <v>43661</v>
      </c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ScAigsvp3Izz98vpVTZrhn8H+1lacUiDbZuPOm/NNWS0UF5aFRGuK1bPbypXVhKGCS5mZNChmFgiwKwNzKgI7Q==" saltValue="fXvxfKFfIIYkN8Ox5RhZ4g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CF095226-A732-4152-93B1-622DDFD136D3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date" allowBlank="1" showInputMessage="1" showErrorMessage="1" error="DD/MM/AAAA" xr:uid="{B1586F8F-3BDE-4C2D-855B-1FBB282EF605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C56B1081-6BC3-4F69-8DDB-E20DA6B79362}">
          <x14:formula1>
            <xm:f>Listas!C1</xm:f>
          </x14:formula1>
          <x14:formula2>
            <xm:f>Listas!C2</xm:f>
          </x14:formula2>
          <xm:sqref>AB11:AG11</xm:sqref>
        </x14:dataValidation>
        <x14:dataValidation type="date" allowBlank="1" showInputMessage="1" showErrorMessage="1" error="DD/MM/AAAA" xr:uid="{DD461C83-9CF1-466C-B8B0-B7EC697A9382}">
          <x14:formula1>
            <xm:f>Listas!C1</xm:f>
          </x14:formula1>
          <x14:formula2>
            <xm:f>Listas!C2</xm:f>
          </x14:formula2>
          <xm:sqref>H11:Q11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6760A-03FC-460C-9EA9-F8F7823F9FA6}">
  <sheetPr codeName="Planilha11"/>
  <dimension ref="A1:AH48"/>
  <sheetViews>
    <sheetView showGridLines="0" showRowColHeaders="0" topLeftCell="A4" workbookViewId="0">
      <selection activeCell="AD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30GfovtFMO1JMpt4PyRubDCC+F7Ng9y1mcCTlSAFlXvsY4ieS9tR4+PcNKjbnrfmaJKauc6jvfiOfem2dyP1FA==" saltValue="JrDopZsD+BUhQQGTqZHeFA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4D85C7E0-25C8-432F-824D-12BF82413C0E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051F58A8-DB57-4EC9-A973-6F7CF67E89E2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2CA47148-63E2-4644-B214-73B9DAC6D663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1F9E0E56-DB92-4EB7-BD54-7840AD092F93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D76640AA-C605-4AD6-8131-06B71542DD1F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73D4EAD2-2F02-4148-AFA4-8E1C308896A3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5E50-A0C5-4E79-B1A1-CE0773933917}">
  <sheetPr codeName="Planilha12"/>
  <dimension ref="A1:AH49"/>
  <sheetViews>
    <sheetView showGridLines="0" showRowColHeaders="0" workbookViewId="0">
      <selection activeCell="B32" sqref="B32:AG32"/>
    </sheetView>
  </sheetViews>
  <sheetFormatPr defaultColWidth="0" defaultRowHeight="15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/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14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123"/>
      <c r="I11" s="124"/>
      <c r="J11" s="124"/>
      <c r="K11" s="124"/>
      <c r="L11" s="124"/>
      <c r="M11" s="124"/>
      <c r="N11" s="124"/>
      <c r="O11" s="124"/>
      <c r="P11" s="124"/>
      <c r="Q11" s="124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125"/>
      <c r="AC11" s="126"/>
      <c r="AD11" s="126"/>
      <c r="AE11" s="126"/>
      <c r="AF11" s="126"/>
      <c r="AG11" s="127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12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4"/>
      <c r="Z40" s="109"/>
      <c r="AA40" s="110"/>
      <c r="AB40" s="110"/>
      <c r="AC40" s="111"/>
      <c r="AD40" s="109"/>
      <c r="AE40" s="110"/>
      <c r="AF40" s="110"/>
      <c r="AG40" s="111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  <row r="49" x14ac:dyDescent="0.25"/>
  </sheetData>
  <sheetProtection algorithmName="SHA-512" hashValue="EUfbLUdJ7x/R1a9vpXR6q9Zu+r5IU/wpm8pcY22KNVaq1xViN7wIm/tJVTArbbcBOQpiTvVYEy6QgJT8vFNVdA==" saltValue="uaTTHXSLAdoLLTW4hSzKvA==" spinCount="100000" sheet="1"/>
  <mergeCells count="115">
    <mergeCell ref="A43:G43"/>
    <mergeCell ref="A45:G45"/>
    <mergeCell ref="K45:S45"/>
    <mergeCell ref="V45:AB45"/>
    <mergeCell ref="A46:G46"/>
    <mergeCell ref="B40:Y40"/>
    <mergeCell ref="Z40:AC40"/>
    <mergeCell ref="AD40:AG40"/>
    <mergeCell ref="B41:Y41"/>
    <mergeCell ref="Z41:AC41"/>
    <mergeCell ref="AD41:AG41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9:G9"/>
    <mergeCell ref="H9:AG9"/>
    <mergeCell ref="A10:G10"/>
    <mergeCell ref="H10:AG10"/>
    <mergeCell ref="A11:G11"/>
    <mergeCell ref="H11:Q11"/>
    <mergeCell ref="R11:AA11"/>
    <mergeCell ref="AB11:AG11"/>
    <mergeCell ref="A8:G8"/>
    <mergeCell ref="H8:K8"/>
    <mergeCell ref="M8:Q8"/>
    <mergeCell ref="R8:V8"/>
    <mergeCell ref="W8:Y8"/>
    <mergeCell ref="Z8:AG8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FD61009F-2967-451D-AE0C-DD0C4204A519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94B63694-31E5-4054-9B6C-B6016E3AF9D8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4E1D4AE1-6798-4B3E-8458-4FAD500BF5D3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05238DBC-71C6-4707-980A-C74889CA6D51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6D51AD9F-448F-43EC-A964-03993506AA20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DEAC1EE2-C9E9-40BE-A4D9-332357CE9304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CF038-E8AD-47B9-A00B-402B76B59970}">
  <sheetPr codeName="Planilha13"/>
  <dimension ref="A1:AH49"/>
  <sheetViews>
    <sheetView showGridLines="0" showRowColHeaders="0" topLeftCell="A7" workbookViewId="0">
      <selection activeCell="B32" sqref="B32:AG32"/>
    </sheetView>
  </sheetViews>
  <sheetFormatPr defaultColWidth="0" defaultRowHeight="15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104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14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 t="s">
        <v>112</v>
      </c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123"/>
      <c r="I11" s="124"/>
      <c r="J11" s="124"/>
      <c r="K11" s="124"/>
      <c r="L11" s="124"/>
      <c r="M11" s="124"/>
      <c r="N11" s="124"/>
      <c r="O11" s="124"/>
      <c r="P11" s="124"/>
      <c r="Q11" s="124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125"/>
      <c r="AC11" s="126"/>
      <c r="AD11" s="126"/>
      <c r="AE11" s="126"/>
      <c r="AF11" s="126"/>
      <c r="AG11" s="127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12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4"/>
      <c r="Z40" s="109"/>
      <c r="AA40" s="110"/>
      <c r="AB40" s="110"/>
      <c r="AC40" s="111"/>
      <c r="AD40" s="109"/>
      <c r="AE40" s="110"/>
      <c r="AF40" s="110"/>
      <c r="AG40" s="111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  <row r="49" x14ac:dyDescent="0.25"/>
  </sheetData>
  <sheetProtection algorithmName="SHA-512" hashValue="jstFBJc/8zl7uzp3/E4bMXv1qBFIcYjaL8UxX6gDF8igi9STg3ry6kuPKHe8eYQ9OmAJtVP1hXvwlRPYD6btww==" saltValue="8aQrZ0WIemzC0dWizSV/2Q==" spinCount="100000" sheet="1"/>
  <mergeCells count="115">
    <mergeCell ref="A43:G43"/>
    <mergeCell ref="A45:G45"/>
    <mergeCell ref="K45:S45"/>
    <mergeCell ref="V45:AB45"/>
    <mergeCell ref="A46:G46"/>
    <mergeCell ref="B40:Y40"/>
    <mergeCell ref="Z40:AC40"/>
    <mergeCell ref="AD40:AG40"/>
    <mergeCell ref="B41:Y41"/>
    <mergeCell ref="Z41:AC41"/>
    <mergeCell ref="AD41:AG41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9:G9"/>
    <mergeCell ref="H9:AG9"/>
    <mergeCell ref="A10:G10"/>
    <mergeCell ref="H10:AG10"/>
    <mergeCell ref="A11:G11"/>
    <mergeCell ref="H11:Q11"/>
    <mergeCell ref="R11:AA11"/>
    <mergeCell ref="AB11:AG11"/>
    <mergeCell ref="A8:G8"/>
    <mergeCell ref="H8:K8"/>
    <mergeCell ref="M8:Q8"/>
    <mergeCell ref="R8:V8"/>
    <mergeCell ref="W8:Y8"/>
    <mergeCell ref="Z8:AG8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55D35684-8C7C-402B-9FAB-64EB09EA88E4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time" allowBlank="1" showInputMessage="1" showErrorMessage="1" error="DD/MM/AAAA" xr:uid="{436B9FF0-5422-4F79-AB6A-BF2F85C3BA08}">
          <x14:formula1>
            <xm:f>Listas!$C$1</xm:f>
          </x14:formula1>
          <x14:formula2>
            <xm:f>Listas!$C$2</xm:f>
          </x14:formula2>
          <xm:sqref>Z33:AG41</xm:sqref>
        </x14:dataValidation>
        <x14:dataValidation type="date" allowBlank="1" showInputMessage="1" showErrorMessage="1" error="DD/MM/AAAA" xr:uid="{3DF911DD-DA37-41E1-A37F-4E9EF871EBB2}">
          <x14:formula1>
            <xm:f>Listas!$C$1</xm:f>
          </x14:formula1>
          <x14:formula2>
            <xm:f>Listas!$C$2</xm:f>
          </x14:formula2>
          <xm:sqref>Z32:AG32</xm:sqref>
        </x14:dataValidation>
        <x14:dataValidation type="date" allowBlank="1" showInputMessage="1" showErrorMessage="1" error="DD/MM/AAAA" xr:uid="{64671A02-56B1-46FF-B44F-44766356FAE7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9A9703BE-3C6B-44DF-9114-7D9C1696E90D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F10C5744-3A30-4655-90D6-7CA0549F742E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D0A09796-9E19-426B-8354-0C3C9D7CBDBE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11479-45F3-48BA-8CC4-90E0609BB118}">
  <sheetPr codeName="Planilha14"/>
  <dimension ref="A1:AH49"/>
  <sheetViews>
    <sheetView showGridLines="0" showRowColHeaders="0" topLeftCell="A7" workbookViewId="0">
      <selection activeCell="AD13" sqref="AD13:AG16"/>
    </sheetView>
  </sheetViews>
  <sheetFormatPr defaultColWidth="0" defaultRowHeight="15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104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 t="s">
        <v>403</v>
      </c>
      <c r="I8" s="81"/>
      <c r="J8" s="81"/>
      <c r="K8" s="81"/>
      <c r="L8" s="14"/>
      <c r="M8" s="97" t="s">
        <v>8</v>
      </c>
      <c r="N8" s="97"/>
      <c r="O8" s="97"/>
      <c r="P8" s="97"/>
      <c r="Q8" s="97"/>
      <c r="R8" s="83" t="s">
        <v>404</v>
      </c>
      <c r="S8" s="83"/>
      <c r="T8" s="83"/>
      <c r="U8" s="83"/>
      <c r="V8" s="83"/>
      <c r="W8" s="98" t="s">
        <v>59</v>
      </c>
      <c r="X8" s="99"/>
      <c r="Y8" s="99"/>
      <c r="Z8" s="78">
        <v>123456789</v>
      </c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123">
        <v>43647</v>
      </c>
      <c r="I11" s="124"/>
      <c r="J11" s="124"/>
      <c r="K11" s="124"/>
      <c r="L11" s="124"/>
      <c r="M11" s="124"/>
      <c r="N11" s="124"/>
      <c r="O11" s="124"/>
      <c r="P11" s="124"/>
      <c r="Q11" s="124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125">
        <v>43677</v>
      </c>
      <c r="AC11" s="126"/>
      <c r="AD11" s="126"/>
      <c r="AE11" s="126"/>
      <c r="AF11" s="126"/>
      <c r="AG11" s="127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12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4"/>
      <c r="Z40" s="109"/>
      <c r="AA40" s="110"/>
      <c r="AB40" s="110"/>
      <c r="AC40" s="111"/>
      <c r="AD40" s="109"/>
      <c r="AE40" s="110"/>
      <c r="AF40" s="110"/>
      <c r="AG40" s="111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  <row r="49" x14ac:dyDescent="0.25"/>
  </sheetData>
  <sheetProtection algorithmName="SHA-512" hashValue="wkDejx0stA0yu8QGOqhhgUugRE8yb9Mmk4rfmMIwFDj/D2yX05oIxgmtN4yxWIVtw/bxXSuUPf2zJi63Uxq62g==" saltValue="LwbTNEjf9NQc9T3zcr3Xow==" spinCount="100000" sheet="1"/>
  <mergeCells count="115">
    <mergeCell ref="A43:G43"/>
    <mergeCell ref="A45:G45"/>
    <mergeCell ref="K45:S45"/>
    <mergeCell ref="V45:AB45"/>
    <mergeCell ref="A46:G46"/>
    <mergeCell ref="B40:Y40"/>
    <mergeCell ref="Z40:AC40"/>
    <mergeCell ref="AD40:AG40"/>
    <mergeCell ref="B41:Y41"/>
    <mergeCell ref="Z41:AC41"/>
    <mergeCell ref="AD41:AG41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9:G9"/>
    <mergeCell ref="H9:AG9"/>
    <mergeCell ref="A10:G10"/>
    <mergeCell ref="H10:AG10"/>
    <mergeCell ref="A11:G11"/>
    <mergeCell ref="H11:Q11"/>
    <mergeCell ref="R11:AA11"/>
    <mergeCell ref="AB11:AG11"/>
    <mergeCell ref="A8:G8"/>
    <mergeCell ref="H8:K8"/>
    <mergeCell ref="M8:Q8"/>
    <mergeCell ref="R8:V8"/>
    <mergeCell ref="W8:Y8"/>
    <mergeCell ref="Z8:AG8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0F0C03C5-C316-453D-BD9D-95CF693AFAD3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384E924F-77D6-4FD4-AFB1-4444B76E2EC6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9E1435F2-B979-43E0-A6DB-420BCB5B2696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C3EABA6C-FF93-4894-96CD-13F91A25BF40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10251EF8-4488-478B-8B28-47E24B4511D8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F6775C65-0F70-45D4-AF3D-0EAAC562CA0E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DD4CB-38CF-45CA-85C0-1C508564B9F0}">
  <sheetPr codeName="Planilha15"/>
  <dimension ref="A1:AH48"/>
  <sheetViews>
    <sheetView showGridLines="0" showRowColHeaders="0" workbookViewId="0">
      <selection activeCell="AD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ZJydd1dradLGQiEfyPGy9YyWM5MYMfxH95/yw/hccRmagvEUtPw6p9agLAvSj1k6v4+uYDt71Km+HI6c/vSbog==" saltValue="vpSJb/FMWLNKLUrMWHOiag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E0DA6140-7D4D-4EA3-B9F7-3E27DB17A7E0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947CB342-3D54-4E5D-B87E-3AD1114543B6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7CAC444B-4F8A-44A3-AF6A-0CC6030C1A60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BE849991-029D-470E-B5EF-FB0561AA4A6E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204E6513-AEB6-4C75-ABD6-D98EF64DA84B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487D3FD9-2ADA-48FB-A9D4-5755BEBF8158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F23DD-271E-47B2-A6E2-5D345C45507D}">
  <sheetPr codeName="Planilha16"/>
  <dimension ref="A1:AH48"/>
  <sheetViews>
    <sheetView showGridLines="0" showRowColHeaders="0" workbookViewId="0">
      <selection activeCell="AD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HKprQY+6rrw0ehssypTtELdVGTkyZhXuLjML8FfUBnxdm4wtOwKhSGsuUzPUd0HYDzwqE3d5egoq7FwllU+6fA==" saltValue="yEZbbhUsZtzXDE6oqcmpmQ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355095EB-3C6C-4279-8F57-56C69346DA68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date" allowBlank="1" showInputMessage="1" showErrorMessage="1" error="DD/MM/AAAA" xr:uid="{7F30BAB4-54EA-4D9A-AB3B-45CD946A44AF}">
          <x14:formula1>
            <xm:f>Listas!$C$11</xm:f>
          </x14:formula1>
          <x14:formula2>
            <xm:f>Listas!$C$2</xm:f>
          </x14:formula2>
          <xm:sqref>Z33:AG41</xm:sqref>
        </x14:dataValidation>
        <x14:dataValidation type="date" allowBlank="1" showInputMessage="1" showErrorMessage="1" error="DD/MM/AAAA" xr:uid="{1B3F9CA8-5776-4C93-ACF2-3D3C447A84BF}">
          <x14:formula1>
            <xm:f>Listas!$C$1</xm:f>
          </x14:formula1>
          <x14:formula2>
            <xm:f>Listas!$C$2</xm:f>
          </x14:formula2>
          <xm:sqref>Z32:AG32</xm:sqref>
        </x14:dataValidation>
        <x14:dataValidation type="date" allowBlank="1" showInputMessage="1" showErrorMessage="1" error="DD/MM/AAAA" xr:uid="{EB33107B-C4F9-408C-8E81-69822DE6A5D6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270A4312-5103-4D87-8A1E-8EE0BFEE8286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C104313B-0AAF-4C0E-A645-0BAA35164EEE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6766ACD2-80E9-4732-9F01-1EB3C8CA66C1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40495-02E9-4C7D-B61A-60F896F026DF}">
  <sheetPr codeName="Planilha17"/>
  <dimension ref="A1:AH48"/>
  <sheetViews>
    <sheetView showGridLines="0" showRowColHeaders="0" topLeftCell="A16" workbookViewId="0">
      <selection activeCell="AD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z9kRF50Ez3F3vyBMfF6auAy8JUUAKQ4BNRRO3PG7TE5yRtz970ipiq0VWcD2L1i0qmQy1da5ADMIJ7zi98wv3Q==" saltValue="BQM/XSS+SsUeXlqtKkpaDw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4BE50620-2DAE-4C81-BC96-52FF402A7628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0C1120EA-DC1E-45D6-B607-EC033508C910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16659761-845B-4C0A-856E-89D1AA21A90B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F934ACA7-3916-4676-ABD4-3EE9317FBD1C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874749D3-1EAA-464A-A425-482E9967387A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7B1CC2AE-0B4E-46D5-A94F-29450C77D879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D1B9C-6777-481C-AFB1-673993692AD6}">
  <sheetPr codeName="Planilha18"/>
  <dimension ref="A1:AH48"/>
  <sheetViews>
    <sheetView showGridLines="0" showRowColHeaders="0" topLeftCell="A4" zoomScale="145" zoomScaleNormal="145" workbookViewId="0">
      <selection activeCell="B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SFElGrCMTcyFUOxLKJSJlbXadjZD7Q0xHZL2GYLfgtoxO77J7eldVlg58Sikf3+ygNBp2mCrzvzU/OQId435Fg==" saltValue="v61CKIq7homaP+tczWi/fw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DEBAAA70-D3A7-4E90-B598-2E9A388FD05D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5E80698F-D1A0-4766-853A-9361BC268D5B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38C8A82B-0E6C-42C8-A8E6-38BEF6EC6764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24987D7A-BD32-46A3-B31F-26F29950D31B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CEC2695E-CA8C-4195-AF91-ECC75CC2B280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A370DB03-B86E-4E8A-B9B5-F169086114F8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C4426-E785-40DE-AB43-8BA335EC1126}">
  <sheetPr codeName="Planilha19"/>
  <dimension ref="A1:AH48"/>
  <sheetViews>
    <sheetView showGridLines="0" showRowColHeaders="0" workbookViewId="0">
      <selection activeCell="B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uysTy8r52QZe2YptmpcA1EDPcNjKwDLH0ukkvyGh1asdHQpzZpFbUZEsyTG5ROvGbqP3C1Umt2yMGa4Z3wkO3Q==" saltValue="jQ9MDELxrnmDep/PkPLyHg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30ADDEA9-814C-47F4-9621-358AA3E45D02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51570FF5-3B7E-426C-82BD-A1A4930023AB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B8D101B0-AA13-461C-AB5C-C62E14D714FF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A5AFCEA0-B3BD-4EAE-B75B-BDB756E7CDD2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77C92F8B-687F-4B72-97F8-B0FACF53E652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E09EF94F-0611-48C6-A639-2347A47811BD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85ED4-3D06-4A5F-A37A-1F9E5DFE61D4}">
  <sheetPr codeName="Planilha2"/>
  <dimension ref="A1:AH49"/>
  <sheetViews>
    <sheetView showGridLines="0" showRowColHeaders="0" tabSelected="1" zoomScale="115" zoomScaleNormal="115" workbookViewId="0">
      <selection activeCell="A12" sqref="A12:G18"/>
    </sheetView>
  </sheetViews>
  <sheetFormatPr defaultColWidth="0" defaultRowHeight="15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104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103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114</v>
      </c>
      <c r="I7" s="88"/>
      <c r="J7" s="88"/>
      <c r="K7" s="88"/>
      <c r="L7" s="89"/>
      <c r="M7" s="87" t="s">
        <v>115</v>
      </c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 t="s">
        <v>410</v>
      </c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 t="s">
        <v>411</v>
      </c>
      <c r="S8" s="83"/>
      <c r="T8" s="83"/>
      <c r="U8" s="83"/>
      <c r="V8" s="83"/>
      <c r="W8" s="98" t="s">
        <v>59</v>
      </c>
      <c r="X8" s="99"/>
      <c r="Y8" s="99"/>
      <c r="Z8" s="78" t="s">
        <v>60</v>
      </c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123">
        <v>43466</v>
      </c>
      <c r="I11" s="124"/>
      <c r="J11" s="124"/>
      <c r="K11" s="124"/>
      <c r="L11" s="124"/>
      <c r="M11" s="124"/>
      <c r="N11" s="124"/>
      <c r="O11" s="124"/>
      <c r="P11" s="124"/>
      <c r="Q11" s="124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125">
        <v>43708</v>
      </c>
      <c r="AC11" s="126"/>
      <c r="AD11" s="126"/>
      <c r="AE11" s="126"/>
      <c r="AF11" s="126"/>
      <c r="AG11" s="127"/>
      <c r="AH11" s="1"/>
    </row>
    <row r="12" spans="1:34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 t="s">
        <v>194</v>
      </c>
      <c r="AB13" s="117"/>
      <c r="AC13" s="118"/>
      <c r="AD13" s="95">
        <v>32156</v>
      </c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 t="s">
        <v>250</v>
      </c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 t="s">
        <v>194</v>
      </c>
      <c r="AB14" s="117"/>
      <c r="AC14" s="118"/>
      <c r="AD14" s="95">
        <v>23456</v>
      </c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 t="s">
        <v>251</v>
      </c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 t="s">
        <v>194</v>
      </c>
      <c r="AB15" s="117"/>
      <c r="AC15" s="118"/>
      <c r="AD15" s="95">
        <v>76556</v>
      </c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 t="s">
        <v>252</v>
      </c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 t="s">
        <v>194</v>
      </c>
      <c r="AB16" s="117"/>
      <c r="AC16" s="118"/>
      <c r="AD16" s="95">
        <v>34533</v>
      </c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 t="s">
        <v>253</v>
      </c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 t="s">
        <v>194</v>
      </c>
      <c r="AB17" s="117"/>
      <c r="AC17" s="118"/>
      <c r="AD17" s="95">
        <v>34454</v>
      </c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 t="s">
        <v>254</v>
      </c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 t="s">
        <v>194</v>
      </c>
      <c r="AB18" s="117"/>
      <c r="AC18" s="118"/>
      <c r="AD18" s="95">
        <v>34534</v>
      </c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 t="s">
        <v>72</v>
      </c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>
        <v>43647</v>
      </c>
      <c r="AA32" s="110"/>
      <c r="AB32" s="110"/>
      <c r="AC32" s="111"/>
      <c r="AD32" s="109">
        <v>43661</v>
      </c>
      <c r="AE32" s="110"/>
      <c r="AF32" s="110"/>
      <c r="AG32" s="111"/>
      <c r="AH32" s="1"/>
    </row>
    <row r="33" spans="1:34" x14ac:dyDescent="0.25">
      <c r="A33" s="21">
        <f>A32+1</f>
        <v>2</v>
      </c>
      <c r="B33" s="112" t="s">
        <v>73</v>
      </c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>
        <v>43468</v>
      </c>
      <c r="AA33" s="110"/>
      <c r="AB33" s="110"/>
      <c r="AC33" s="111"/>
      <c r="AD33" s="109">
        <v>43687</v>
      </c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 t="s">
        <v>74</v>
      </c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>
        <v>43678</v>
      </c>
      <c r="AA34" s="110"/>
      <c r="AB34" s="110"/>
      <c r="AC34" s="111"/>
      <c r="AD34" s="109">
        <v>43687</v>
      </c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 t="s">
        <v>75</v>
      </c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>
        <v>43692</v>
      </c>
      <c r="AA35" s="110"/>
      <c r="AB35" s="110"/>
      <c r="AC35" s="111"/>
      <c r="AD35" s="109">
        <v>43687</v>
      </c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 t="s">
        <v>76</v>
      </c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>
        <v>43485</v>
      </c>
      <c r="AA36" s="110"/>
      <c r="AB36" s="110"/>
      <c r="AC36" s="111"/>
      <c r="AD36" s="109">
        <v>43506</v>
      </c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 t="s">
        <v>77</v>
      </c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>
        <v>43485</v>
      </c>
      <c r="AA37" s="110"/>
      <c r="AB37" s="110"/>
      <c r="AC37" s="111"/>
      <c r="AD37" s="109">
        <v>43511</v>
      </c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 t="s">
        <v>78</v>
      </c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>
        <v>43516</v>
      </c>
      <c r="AA38" s="110"/>
      <c r="AB38" s="110"/>
      <c r="AC38" s="111"/>
      <c r="AD38" s="109">
        <v>43521</v>
      </c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 t="s">
        <v>79</v>
      </c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>
        <v>43522</v>
      </c>
      <c r="AA39" s="110"/>
      <c r="AB39" s="110"/>
      <c r="AC39" s="111"/>
      <c r="AD39" s="109">
        <v>43524</v>
      </c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12" t="s">
        <v>81</v>
      </c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4"/>
      <c r="Z40" s="109">
        <v>43525</v>
      </c>
      <c r="AA40" s="110"/>
      <c r="AB40" s="110"/>
      <c r="AC40" s="111"/>
      <c r="AD40" s="109">
        <v>43529</v>
      </c>
      <c r="AE40" s="110"/>
      <c r="AF40" s="110"/>
      <c r="AG40" s="111"/>
      <c r="AH40" s="1"/>
    </row>
    <row r="41" spans="1:34" x14ac:dyDescent="0.25">
      <c r="A41" s="21">
        <f t="shared" si="0"/>
        <v>10</v>
      </c>
      <c r="B41" s="112" t="s">
        <v>80</v>
      </c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>
        <v>43525</v>
      </c>
      <c r="AA41" s="110"/>
      <c r="AB41" s="110"/>
      <c r="AC41" s="111"/>
      <c r="AD41" s="109">
        <v>43534</v>
      </c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  <row r="49" x14ac:dyDescent="0.25"/>
  </sheetData>
  <sheetProtection algorithmName="SHA-512" hashValue="zup8vtdSSFmpt//di4q1naosEnZhf7fOdoyhtcx7uGXxOsjRl8rSUumh8VCbP04CIX7AzsX9VBW2cPoM8YdHeA==" saltValue="0dolP+hN3bjH7GOqMkQdJQ==" spinCount="100000" sheet="1"/>
  <mergeCells count="115">
    <mergeCell ref="X7:AC7"/>
    <mergeCell ref="AD7:AG7"/>
    <mergeCell ref="A46:G46"/>
    <mergeCell ref="M8:Q8"/>
    <mergeCell ref="W8:Y8"/>
    <mergeCell ref="Z8:AG8"/>
    <mergeCell ref="B40:Y40"/>
    <mergeCell ref="Z40:AC40"/>
    <mergeCell ref="AD40:AG40"/>
    <mergeCell ref="H8:L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3:G23"/>
    <mergeCell ref="H23:AG23"/>
    <mergeCell ref="A24:G24"/>
    <mergeCell ref="H24:AG24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7:Q17"/>
    <mergeCell ref="AD17:AG17"/>
    <mergeCell ref="I18:Q18"/>
    <mergeCell ref="AD18:AG18"/>
    <mergeCell ref="R18:Z18"/>
    <mergeCell ref="AA18:AC18"/>
    <mergeCell ref="I15:Q15"/>
    <mergeCell ref="AD15:AG15"/>
    <mergeCell ref="I16:Q16"/>
    <mergeCell ref="AD16:AG16"/>
    <mergeCell ref="A12:G18"/>
    <mergeCell ref="I12:Q12"/>
    <mergeCell ref="AD12:AG12"/>
    <mergeCell ref="I13:Q13"/>
    <mergeCell ref="AD13:AG13"/>
    <mergeCell ref="I14:Q14"/>
    <mergeCell ref="AD14:AG14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A2:AG2"/>
    <mergeCell ref="A4:AG4"/>
    <mergeCell ref="A5:G5"/>
    <mergeCell ref="H5:AG5"/>
    <mergeCell ref="A6:G6"/>
    <mergeCell ref="H6:AG6"/>
    <mergeCell ref="AA12:AC12"/>
    <mergeCell ref="R12:Z12"/>
    <mergeCell ref="R13:Z13"/>
    <mergeCell ref="AA13:AC13"/>
    <mergeCell ref="A9:G9"/>
    <mergeCell ref="H9:AG9"/>
    <mergeCell ref="A10:G10"/>
    <mergeCell ref="H10:AG10"/>
    <mergeCell ref="A11:G11"/>
    <mergeCell ref="H11:Q11"/>
    <mergeCell ref="R11:AA11"/>
    <mergeCell ref="AB11:AG11"/>
    <mergeCell ref="A7:G7"/>
    <mergeCell ref="A8:G8"/>
    <mergeCell ref="R8:V8"/>
    <mergeCell ref="H7:L7"/>
    <mergeCell ref="M7:Q7"/>
    <mergeCell ref="R7:W7"/>
  </mergeCells>
  <hyperlinks>
    <hyperlink ref="R12" r:id="rId1" xr:uid="{49DE6D83-44A5-473F-AD35-D25D11DB06DD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date" allowBlank="1" showInputMessage="1" showErrorMessage="1" error="DD/MM/AAAA" xr:uid="{220D4E2B-6D9E-4172-9120-7468876EC70B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BE7B64EE-F732-480B-9B72-E379E4988D35}">
          <x14:formula1>
            <xm:f>Listas!C1</xm:f>
          </x14:formula1>
          <x14:formula2>
            <xm:f>Listas!C2</xm:f>
          </x14:formula2>
          <xm:sqref>AB11:AG11</xm:sqref>
        </x14:dataValidation>
        <x14:dataValidation type="date" allowBlank="1" showInputMessage="1" showErrorMessage="1" error="DD/MM/AAAA" xr:uid="{D8BCFC3A-EED2-4F66-BCA9-6A7EF216CF76}">
          <x14:formula1>
            <xm:f>Listas!C1</xm:f>
          </x14:formula1>
          <x14:formula2>
            <xm:f>Listas!C2</xm:f>
          </x14:formula2>
          <xm:sqref>H11:Q11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642D0-4DF8-4DD5-9507-4462DAEE8EDA}">
  <sheetPr codeName="Planilha20"/>
  <dimension ref="A1:AH48"/>
  <sheetViews>
    <sheetView showGridLines="0" showRowColHeaders="0" topLeftCell="A4" workbookViewId="0">
      <selection activeCell="AD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Oyp7QdgGENb3dtNjmIvB3ZDJN4BBpsAKV8WMi3qznP2lAbtGTksLFRcu8qDWPbk025AnA+KBwR/orOZSuiUyFQ==" saltValue="xZ3l8fwdirSqo7EgJehx4A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AA1E8883-4320-4984-AFF1-DF818545BD0D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8AC7E8DE-44F2-4739-96F1-3BA7D4CC7E04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A78880AF-5FDC-4646-93E3-54A41AB6B895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74DB6EC0-746A-4011-94FA-668D458F9FBB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12A09373-12D3-486C-86EC-B03081BA55E1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8BB4DF6F-FE73-497E-9F39-75C9AEC29D6F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E3A95-A725-4041-92BE-479FA46E7EAC}">
  <sheetPr codeName="Planilha21"/>
  <dimension ref="A1:AH48"/>
  <sheetViews>
    <sheetView showGridLines="0" showRowColHeaders="0" workbookViewId="0">
      <selection activeCell="B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128"/>
      <c r="S8" s="128"/>
      <c r="T8" s="128"/>
      <c r="U8" s="128"/>
      <c r="V8" s="128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8RrYfSlfscmsSLVilTLLF1GxbRK/U13gWGOMq7LABBpQt8MO0jBHdE85mvZ6D5sYjf0734NcTz3P6Z8TKU1wLA==" saltValue="DNodMqPWpkYnjhfwvykXSA==" spinCount="100000" sheet="1" objects="1" scenarios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86B8E506-94AE-45EB-8A0C-6ABF28D06947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2A1B6DE7-67BF-42CC-BCE9-9E0DCFF5EF12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58ADF84F-E166-4227-A5CB-583D3CEBEFBB}">
          <x14:formula1>
            <xm:f>Listas!A2</xm:f>
          </x14:formula1>
          <x14:formula2>
            <xm:f>Listas!A3</xm:f>
          </x14:formula2>
          <xm:sqref>K11:Q11</xm:sqref>
        </x14:dataValidation>
        <x14:dataValidation type="date" allowBlank="1" showInputMessage="1" showErrorMessage="1" error="DD/MM/AAAA" xr:uid="{60F4945E-D1E6-4990-901B-CDC163268721}">
          <x14:formula1>
            <xm:f>Listas!A2</xm:f>
          </x14:formula1>
          <x14:formula2>
            <xm:f>Listas!A3</xm:f>
          </x14:formula2>
          <xm:sqref>J11</xm:sqref>
        </x14:dataValidation>
        <x14:dataValidation type="date" allowBlank="1" showInputMessage="1" showErrorMessage="1" error="DD/MM/AAAA" xr:uid="{BDA4B3F1-51FB-44C2-B7AF-AF70E3818083}">
          <x14:formula1>
            <xm:f>Listas!XFA1</xm:f>
          </x14:formula1>
          <x14:formula2>
            <xm:f>Listas!XFA2</xm:f>
          </x14:formula2>
          <xm:sqref>H11:I11</xm:sqref>
        </x14:dataValidation>
        <x14:dataValidation type="date" allowBlank="1" showInputMessage="1" showErrorMessage="1" error="DD/MM/AAAA" xr:uid="{450BD407-FD09-4A08-A03C-D84B41DBFE43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72C78-7649-4D8A-B00A-5C6CEFE7D093}">
  <sheetPr codeName="Planilha22"/>
  <dimension ref="A1:T299"/>
  <sheetViews>
    <sheetView showGridLines="0" showRowColHeaders="0" showZeros="0" zoomScaleNormal="100" workbookViewId="0">
      <selection activeCell="L213" sqref="L213"/>
    </sheetView>
  </sheetViews>
  <sheetFormatPr defaultColWidth="0" defaultRowHeight="15" zeroHeight="1" outlineLevelRow="1" x14ac:dyDescent="0.25"/>
  <cols>
    <col min="1" max="1" width="4.42578125" customWidth="1"/>
    <col min="2" max="2" width="38.85546875" customWidth="1"/>
    <col min="3" max="4" width="10.42578125" bestFit="1" customWidth="1"/>
    <col min="5" max="5" width="12.140625" customWidth="1"/>
    <col min="6" max="6" width="9.140625" customWidth="1"/>
    <col min="7" max="7" width="12.28515625" customWidth="1"/>
    <col min="8" max="8" width="19.7109375" style="67" customWidth="1"/>
    <col min="9" max="9" width="11.85546875" customWidth="1"/>
    <col min="10" max="10" width="9.28515625" style="36" bestFit="1" customWidth="1"/>
    <col min="11" max="13" width="13.42578125" customWidth="1"/>
    <col min="14" max="14" width="9.140625" customWidth="1"/>
    <col min="15" max="15" width="12.42578125" style="12" hidden="1" customWidth="1"/>
    <col min="16" max="20" width="9.28515625" hidden="1" customWidth="1"/>
    <col min="21" max="16384" width="9.140625" hidden="1"/>
  </cols>
  <sheetData>
    <row r="1" spans="1:20" x14ac:dyDescent="0.25"/>
    <row r="2" spans="1:20" s="55" customFormat="1" ht="36" x14ac:dyDescent="0.55000000000000004">
      <c r="A2" s="53"/>
      <c r="B2" s="130" t="s">
        <v>247</v>
      </c>
      <c r="C2" s="130"/>
      <c r="D2" s="130"/>
      <c r="E2" s="130"/>
      <c r="F2" s="130"/>
      <c r="G2" s="130"/>
      <c r="H2" s="130"/>
      <c r="I2" s="130"/>
      <c r="J2" s="130"/>
      <c r="K2" s="56" t="str">
        <f>'1'!H8</f>
        <v>Diret</v>
      </c>
      <c r="L2" s="56" t="str">
        <f>'1'!R8</f>
        <v>Coord</v>
      </c>
      <c r="M2" s="56"/>
      <c r="N2" s="53"/>
      <c r="O2" s="54"/>
    </row>
    <row r="3" spans="1:20" x14ac:dyDescent="0.25"/>
    <row r="4" spans="1:20" s="43" customFormat="1" ht="21" customHeight="1" x14ac:dyDescent="0.25">
      <c r="B4" s="38" t="s">
        <v>136</v>
      </c>
      <c r="C4" s="129" t="str">
        <f>'1'!$H$6</f>
        <v>#102070</v>
      </c>
      <c r="D4" s="129"/>
      <c r="E4" s="129"/>
      <c r="F4" s="129"/>
      <c r="G4" s="129"/>
      <c r="H4" s="68" t="s">
        <v>138</v>
      </c>
      <c r="I4" s="39">
        <f>'1'!$H$11</f>
        <v>43466</v>
      </c>
      <c r="J4" s="40" t="s">
        <v>140</v>
      </c>
      <c r="K4" s="39">
        <f>'1'!$AB$11</f>
        <v>43708</v>
      </c>
      <c r="L4" s="41"/>
      <c r="M4" s="70"/>
      <c r="O4" s="47" t="s">
        <v>150</v>
      </c>
      <c r="P4" s="46"/>
      <c r="Q4" s="46"/>
      <c r="R4" s="46"/>
      <c r="S4" s="46"/>
      <c r="T4" s="46"/>
    </row>
    <row r="5" spans="1:20" s="23" customFormat="1" ht="31.5" customHeight="1" outlineLevel="1" x14ac:dyDescent="0.2">
      <c r="B5" s="31" t="s">
        <v>37</v>
      </c>
      <c r="C5" s="31" t="s">
        <v>139</v>
      </c>
      <c r="D5" s="31" t="s">
        <v>137</v>
      </c>
      <c r="E5" s="31" t="s">
        <v>116</v>
      </c>
      <c r="F5" s="31" t="s">
        <v>117</v>
      </c>
      <c r="G5" s="31" t="s">
        <v>118</v>
      </c>
      <c r="H5" s="31" t="s">
        <v>119</v>
      </c>
      <c r="I5" s="31" t="s">
        <v>120</v>
      </c>
      <c r="J5" s="31" t="s">
        <v>121</v>
      </c>
      <c r="K5" s="32" t="s">
        <v>122</v>
      </c>
      <c r="L5" s="32" t="s">
        <v>123</v>
      </c>
      <c r="M5" s="32" t="s">
        <v>124</v>
      </c>
      <c r="N5" s="28" t="s">
        <v>125</v>
      </c>
      <c r="O5" s="33" t="s">
        <v>126</v>
      </c>
      <c r="P5" s="32" t="s">
        <v>127</v>
      </c>
      <c r="Q5" s="32" t="s">
        <v>128</v>
      </c>
      <c r="R5" s="32" t="s">
        <v>129</v>
      </c>
      <c r="S5" s="32" t="s">
        <v>130</v>
      </c>
      <c r="T5" s="32" t="s">
        <v>131</v>
      </c>
    </row>
    <row r="6" spans="1:20" s="22" customFormat="1" ht="20.25" customHeight="1" outlineLevel="1" x14ac:dyDescent="0.25">
      <c r="B6" s="44" t="str">
        <f>'1'!$B$32</f>
        <v>Planejamento Inicial - TAP</v>
      </c>
      <c r="C6" s="45">
        <f>'1'!$Z$32</f>
        <v>43647</v>
      </c>
      <c r="D6" s="45">
        <f>'1'!$AD$32</f>
        <v>43661</v>
      </c>
      <c r="E6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6" s="25"/>
      <c r="G6" s="25"/>
      <c r="H6" s="24"/>
      <c r="I6" s="25"/>
      <c r="J6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6" s="27"/>
      <c r="L6" s="27"/>
      <c r="M6" s="27"/>
      <c r="N6" s="28"/>
      <c r="O6" s="34">
        <f t="shared" ref="O6:O15" ca="1" si="0">TODAY()</f>
        <v>43710</v>
      </c>
      <c r="P6" s="30">
        <f>IF(Projeto1[[#This Row],[Iniciada]]&lt;&gt;"",1,0)</f>
        <v>0</v>
      </c>
      <c r="Q6" s="30">
        <f ca="1">IF(Projeto1[[#This Row],[Já iniciada]]=1,0,IF(AND(Projeto1[[#This Row],[Data Início Prevista]]&lt;&gt;0,Projeto1[[#This Row],[éhoje]]&gt;Projeto1[[#This Row],[Data Início Prevista]]),1,0))</f>
        <v>1</v>
      </c>
      <c r="R6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6" s="29">
        <f>IF(Projeto1[[#This Row],[Data Repactuada]]&lt;&gt;"",1,0)</f>
        <v>0</v>
      </c>
      <c r="T6" s="30">
        <f>IF(Projeto1[[#This Row],[Concluída]]&lt;&gt;"",1,0)</f>
        <v>0</v>
      </c>
    </row>
    <row r="7" spans="1:20" s="22" customFormat="1" ht="15.75" outlineLevel="1" x14ac:dyDescent="0.25">
      <c r="B7" s="44" t="str">
        <f>'1'!$B$33</f>
        <v>Levantamento Inicial - Matriz de Planejamento</v>
      </c>
      <c r="C7" s="45">
        <f>'1'!$Z$33</f>
        <v>43468</v>
      </c>
      <c r="D7" s="45">
        <f>'1'!$AD$33</f>
        <v>43687</v>
      </c>
      <c r="E7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7" s="25"/>
      <c r="G7" s="24"/>
      <c r="H7" s="24"/>
      <c r="I7" s="24"/>
      <c r="J7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7" s="27"/>
      <c r="L7" s="27"/>
      <c r="M7" s="27"/>
      <c r="N7" s="28"/>
      <c r="O7" s="34">
        <f t="shared" ca="1" si="0"/>
        <v>43710</v>
      </c>
      <c r="P7" s="30">
        <f>IF(Projeto1[[#This Row],[Iniciada]]&lt;&gt;"",1,0)</f>
        <v>0</v>
      </c>
      <c r="Q7" s="30">
        <f ca="1">IF(Projeto1[[#This Row],[Já iniciada]]=1,0,IF(AND(Projeto1[[#This Row],[Data Início Prevista]]&lt;&gt;0,Projeto1[[#This Row],[éhoje]]&gt;Projeto1[[#This Row],[Data Início Prevista]]),1,0))</f>
        <v>1</v>
      </c>
      <c r="R7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7" s="29">
        <f>IF(Projeto1[[#This Row],[Data Repactuada]]&lt;&gt;"",1,0)</f>
        <v>0</v>
      </c>
      <c r="T7" s="30">
        <f>IF(Projeto1[[#This Row],[Concluída]]&lt;&gt;"",1,0)</f>
        <v>0</v>
      </c>
    </row>
    <row r="8" spans="1:20" s="22" customFormat="1" ht="15.75" outlineLevel="1" x14ac:dyDescent="0.25">
      <c r="B8" s="44" t="str">
        <f>'1'!$B$34</f>
        <v>Definição de papéis de trabalho</v>
      </c>
      <c r="C8" s="45">
        <f>'1'!$Z$34</f>
        <v>43678</v>
      </c>
      <c r="D8" s="45">
        <f>'1'!$AD$34</f>
        <v>43687</v>
      </c>
      <c r="E8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8" s="25"/>
      <c r="G8" s="24"/>
      <c r="H8" s="24"/>
      <c r="I8" s="24"/>
      <c r="J8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8" s="27"/>
      <c r="L8" s="27"/>
      <c r="M8" s="27"/>
      <c r="N8" s="28"/>
      <c r="O8" s="34">
        <f t="shared" ca="1" si="0"/>
        <v>43710</v>
      </c>
      <c r="P8" s="30">
        <f>IF(Projeto1[[#This Row],[Iniciada]]&lt;&gt;"",1,0)</f>
        <v>0</v>
      </c>
      <c r="Q8" s="30">
        <f ca="1">IF(Projeto1[[#This Row],[Já iniciada]]=1,0,IF(AND(Projeto1[[#This Row],[Data Início Prevista]]&lt;&gt;0,Projeto1[[#This Row],[éhoje]]&gt;Projeto1[[#This Row],[Data Início Prevista]]),1,0))</f>
        <v>1</v>
      </c>
      <c r="R8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8" s="29">
        <f>IF(Projeto1[[#This Row],[Data Repactuada]]&lt;&gt;"",1,0)</f>
        <v>0</v>
      </c>
      <c r="T8" s="30">
        <f>IF(Projeto1[[#This Row],[Concluída]]&lt;&gt;"",1,0)</f>
        <v>0</v>
      </c>
    </row>
    <row r="9" spans="1:20" s="22" customFormat="1" ht="15.75" outlineLevel="1" x14ac:dyDescent="0.25">
      <c r="B9" s="44" t="str">
        <f>'1'!$B$35</f>
        <v>Procedimentos</v>
      </c>
      <c r="C9" s="45">
        <f>'1'!$Z$35</f>
        <v>43692</v>
      </c>
      <c r="D9" s="45">
        <f>'1'!$AD$35</f>
        <v>43687</v>
      </c>
      <c r="E9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9" s="25"/>
      <c r="G9" s="24"/>
      <c r="H9" s="24"/>
      <c r="I9" s="25"/>
      <c r="J9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9" s="27"/>
      <c r="L9" s="27"/>
      <c r="M9" s="27"/>
      <c r="N9" s="28"/>
      <c r="O9" s="34">
        <f t="shared" ca="1" si="0"/>
        <v>43710</v>
      </c>
      <c r="P9" s="30">
        <f>IF(Projeto1[[#This Row],[Iniciada]]&lt;&gt;"",1,0)</f>
        <v>0</v>
      </c>
      <c r="Q9" s="30">
        <f ca="1">IF(Projeto1[[#This Row],[Já iniciada]]=1,0,IF(AND(Projeto1[[#This Row],[Data Início Prevista]]&lt;&gt;0,Projeto1[[#This Row],[éhoje]]&gt;Projeto1[[#This Row],[Data Início Prevista]]),1,0))</f>
        <v>1</v>
      </c>
      <c r="R9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9" s="29">
        <f>IF(Projeto1[[#This Row],[Data Repactuada]]&lt;&gt;"",1,0)</f>
        <v>0</v>
      </c>
      <c r="T9" s="30">
        <f>IF(Projeto1[[#This Row],[Concluída]]&lt;&gt;"",1,0)</f>
        <v>0</v>
      </c>
    </row>
    <row r="10" spans="1:20" s="22" customFormat="1" ht="15.75" outlineLevel="1" x14ac:dyDescent="0.25">
      <c r="B10" s="44" t="str">
        <f>'1'!$B$36</f>
        <v>Análises internas</v>
      </c>
      <c r="C10" s="45">
        <f>'1'!$Z$36</f>
        <v>43485</v>
      </c>
      <c r="D10" s="45">
        <f>'1'!$AD$36</f>
        <v>43506</v>
      </c>
      <c r="E10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10" s="25"/>
      <c r="G10" s="24"/>
      <c r="H10" s="24"/>
      <c r="I10" s="24"/>
      <c r="J10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10" s="27"/>
      <c r="L10" s="27"/>
      <c r="M10" s="27"/>
      <c r="N10" s="28"/>
      <c r="O10" s="34">
        <f t="shared" ca="1" si="0"/>
        <v>43710</v>
      </c>
      <c r="P10" s="30">
        <f>IF(Projeto1[[#This Row],[Iniciada]]&lt;&gt;"",1,0)</f>
        <v>0</v>
      </c>
      <c r="Q10" s="30">
        <f ca="1">IF(Projeto1[[#This Row],[Já iniciada]]=1,0,IF(AND(Projeto1[[#This Row],[Data Início Prevista]]&lt;&gt;0,Projeto1[[#This Row],[éhoje]]&gt;Projeto1[[#This Row],[Data Início Prevista]]),1,0))</f>
        <v>1</v>
      </c>
      <c r="R10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10" s="29">
        <f>IF(Projeto1[[#This Row],[Data Repactuada]]&lt;&gt;"",1,0)</f>
        <v>0</v>
      </c>
      <c r="T10" s="30">
        <f>IF(Projeto1[[#This Row],[Concluída]]&lt;&gt;"",1,0)</f>
        <v>0</v>
      </c>
    </row>
    <row r="11" spans="1:20" s="22" customFormat="1" ht="15.75" outlineLevel="1" x14ac:dyDescent="0.25">
      <c r="B11" s="44" t="str">
        <f>'1'!$B$37</f>
        <v>Matriz de achados</v>
      </c>
      <c r="C11" s="45">
        <f>'1'!$Z$37</f>
        <v>43485</v>
      </c>
      <c r="D11" s="45">
        <f>'1'!$AD$37</f>
        <v>43511</v>
      </c>
      <c r="E11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11" s="25"/>
      <c r="G11" s="24"/>
      <c r="H11" s="24"/>
      <c r="I11" s="24"/>
      <c r="J11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11" s="27"/>
      <c r="L11" s="27"/>
      <c r="M11" s="27"/>
      <c r="N11" s="28"/>
      <c r="O11" s="34">
        <f t="shared" ca="1" si="0"/>
        <v>43710</v>
      </c>
      <c r="P11" s="30">
        <f>IF(Projeto1[[#This Row],[Iniciada]]&lt;&gt;"",1,0)</f>
        <v>0</v>
      </c>
      <c r="Q11" s="30">
        <f ca="1">IF(Projeto1[[#This Row],[Já iniciada]]=1,0,IF(AND(Projeto1[[#This Row],[Data Início Prevista]]&lt;&gt;0,Projeto1[[#This Row],[éhoje]]&gt;Projeto1[[#This Row],[Data Início Prevista]]),1,0))</f>
        <v>1</v>
      </c>
      <c r="R11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11" s="29">
        <f>IF(Projeto1[[#This Row],[Data Repactuada]]&lt;&gt;"",1,0)</f>
        <v>0</v>
      </c>
      <c r="T11" s="30">
        <f>IF(Projeto1[[#This Row],[Concluída]]&lt;&gt;"",1,0)</f>
        <v>0</v>
      </c>
    </row>
    <row r="12" spans="1:20" s="22" customFormat="1" ht="15.75" outlineLevel="1" x14ac:dyDescent="0.25">
      <c r="B12" s="44" t="str">
        <f>'1'!$B$38</f>
        <v>Relatório preliminar</v>
      </c>
      <c r="C12" s="45">
        <f>'1'!$Z$38</f>
        <v>43516</v>
      </c>
      <c r="D12" s="45">
        <f>'1'!$AD$38</f>
        <v>43521</v>
      </c>
      <c r="E12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12" s="25"/>
      <c r="G12" s="24"/>
      <c r="H12" s="24"/>
      <c r="I12" s="24"/>
      <c r="J12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12" s="27"/>
      <c r="L12" s="27"/>
      <c r="M12" s="27"/>
      <c r="N12" s="28"/>
      <c r="O12" s="34">
        <f t="shared" ca="1" si="0"/>
        <v>43710</v>
      </c>
      <c r="P12" s="30">
        <f>IF(Projeto1[[#This Row],[Iniciada]]&lt;&gt;"",1,0)</f>
        <v>0</v>
      </c>
      <c r="Q12" s="30">
        <f ca="1">IF(Projeto1[[#This Row],[Já iniciada]]=1,0,IF(AND(Projeto1[[#This Row],[Data Início Prevista]]&lt;&gt;0,Projeto1[[#This Row],[éhoje]]&gt;Projeto1[[#This Row],[Data Início Prevista]]),1,0))</f>
        <v>1</v>
      </c>
      <c r="R12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12" s="29">
        <f>IF(Projeto1[[#This Row],[Data Repactuada]]&lt;&gt;"",1,0)</f>
        <v>0</v>
      </c>
      <c r="T12" s="30">
        <f>IF(Projeto1[[#This Row],[Concluída]]&lt;&gt;"",1,0)</f>
        <v>0</v>
      </c>
    </row>
    <row r="13" spans="1:20" s="22" customFormat="1" ht="15.75" outlineLevel="1" x14ac:dyDescent="0.25">
      <c r="B13" s="44" t="str">
        <f>'1'!$B$39</f>
        <v>Reunião de busca com gestor</v>
      </c>
      <c r="C13" s="45">
        <f>'1'!$Z$39</f>
        <v>43522</v>
      </c>
      <c r="D13" s="45">
        <f>'1'!$AD$39</f>
        <v>43524</v>
      </c>
      <c r="E13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13" s="25"/>
      <c r="G13" s="24"/>
      <c r="H13" s="24"/>
      <c r="I13" s="24"/>
      <c r="J13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13" s="27"/>
      <c r="L13" s="27"/>
      <c r="M13" s="27"/>
      <c r="N13" s="28"/>
      <c r="O13" s="34">
        <f t="shared" ca="1" si="0"/>
        <v>43710</v>
      </c>
      <c r="P13" s="30">
        <f>IF(Projeto1[[#This Row],[Iniciada]]&lt;&gt;"",1,0)</f>
        <v>0</v>
      </c>
      <c r="Q13" s="30">
        <f ca="1">IF(Projeto1[[#This Row],[Já iniciada]]=1,0,IF(AND(Projeto1[[#This Row],[Data Início Prevista]]&lt;&gt;0,Projeto1[[#This Row],[éhoje]]&gt;Projeto1[[#This Row],[Data Início Prevista]]),1,0))</f>
        <v>1</v>
      </c>
      <c r="R13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13" s="29">
        <f>IF(Projeto1[[#This Row],[Data Repactuada]]&lt;&gt;"",1,0)</f>
        <v>0</v>
      </c>
      <c r="T13" s="30">
        <f>IF(Projeto1[[#This Row],[Concluída]]&lt;&gt;"",1,0)</f>
        <v>0</v>
      </c>
    </row>
    <row r="14" spans="1:20" s="22" customFormat="1" ht="15.75" outlineLevel="1" x14ac:dyDescent="0.25">
      <c r="B14" s="44" t="str">
        <f>'1'!$B$40</f>
        <v>Minuta do relatório final</v>
      </c>
      <c r="C14" s="45">
        <f>'1'!$Z$40</f>
        <v>43525</v>
      </c>
      <c r="D14" s="45">
        <f>'1'!$AD$40</f>
        <v>43529</v>
      </c>
      <c r="E14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14" s="25"/>
      <c r="G14" s="24"/>
      <c r="H14" s="24"/>
      <c r="I14" s="24"/>
      <c r="J14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14" s="27"/>
      <c r="L14" s="27"/>
      <c r="M14" s="27"/>
      <c r="N14" s="28"/>
      <c r="O14" s="34">
        <f t="shared" ca="1" si="0"/>
        <v>43710</v>
      </c>
      <c r="P14" s="30">
        <f>IF(Projeto1[[#This Row],[Iniciada]]&lt;&gt;"",1,0)</f>
        <v>0</v>
      </c>
      <c r="Q14" s="30">
        <f ca="1">IF(Projeto1[[#This Row],[Já iniciada]]=1,0,IF(AND(Projeto1[[#This Row],[Data Início Prevista]]&lt;&gt;0,Projeto1[[#This Row],[éhoje]]&gt;Projeto1[[#This Row],[Data Início Prevista]]),1,0))</f>
        <v>1</v>
      </c>
      <c r="R14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14" s="29">
        <f>IF(Projeto1[[#This Row],[Data Repactuada]]&lt;&gt;"",1,0)</f>
        <v>0</v>
      </c>
      <c r="T14" s="30">
        <f>IF(Projeto1[[#This Row],[Concluída]]&lt;&gt;"",1,0)</f>
        <v>0</v>
      </c>
    </row>
    <row r="15" spans="1:20" s="22" customFormat="1" ht="15.75" outlineLevel="1" x14ac:dyDescent="0.25">
      <c r="B15" s="44" t="str">
        <f>'1'!$B$41</f>
        <v>Relatório final</v>
      </c>
      <c r="C15" s="45">
        <f>'1'!$Z$41</f>
        <v>43525</v>
      </c>
      <c r="D15" s="45">
        <f>'1'!$AD$41</f>
        <v>43534</v>
      </c>
      <c r="E15" s="26" t="str">
        <f ca="1">IF(Projeto1[[#This Row],[Data Início Prevista]]&lt;&gt;"",IF(Projeto1[[#This Row],[Concluída]]&lt;&gt;"","Concluída",IF(Projeto1[[#This Row],[atraso inicio]]=1,"Atrasada",IF(Projeto1[[#This Row],[atraso FIM]]=1,"Atrasada",IF(Projeto1[[#This Row],[Cancelada]]&lt;&gt;"","Cancelada",IF(Projeto1[[#This Row],[Iniciada]]&lt;&gt;"","Iniciada",""))))))</f>
        <v>Atrasada</v>
      </c>
      <c r="F15" s="25"/>
      <c r="G15" s="24"/>
      <c r="H15" s="24"/>
      <c r="I15" s="24"/>
      <c r="J15" s="37" t="str">
        <f ca="1">IF(Projeto1[[#This Row],[Status]]&lt;&gt;"Concluída","",IF(Projeto1[[#This Row],[Data Fim Real da Fase]]="","",IF(AND(Projeto1[[#This Row],[Status]]="Concluída",Projeto1[[#This Row],[Data Fim Real da Fase]]&lt;&gt;"",Projeto1[[#This Row],[Data Repactuada]]&lt;&gt;""),Projeto1[[#This Row],[Data Fim Real da Fase]]-Projeto1[[#This Row],[Data Repactuada]],Projeto1[[#This Row],[Data Fim Real da Fase]]-Projeto1[[#This Row],[Data Fim Prevista]])))</f>
        <v/>
      </c>
      <c r="K15" s="27"/>
      <c r="L15" s="27"/>
      <c r="M15" s="27"/>
      <c r="N15" s="28"/>
      <c r="O15" s="34">
        <f t="shared" ca="1" si="0"/>
        <v>43710</v>
      </c>
      <c r="P15" s="30">
        <f>IF(Projeto1[[#This Row],[Iniciada]]&lt;&gt;"",1,0)</f>
        <v>0</v>
      </c>
      <c r="Q15" s="30">
        <f ca="1">IF(Projeto1[[#This Row],[Já iniciada]]=1,0,IF(AND(Projeto1[[#This Row],[Data Início Prevista]]&lt;&gt;0,Projeto1[[#This Row],[éhoje]]&gt;Projeto1[[#This Row],[Data Início Prevista]]),1,0))</f>
        <v>1</v>
      </c>
      <c r="R15" s="30">
        <f ca="1">IF(Projeto1[[#This Row],[Concluido]]=1,0,IF(Projeto1[[#This Row],[Cancelada]]&lt;&gt;"",0,IF(Projeto1[[#This Row],[Data Fim Prevista]]=0,0,IF(Projeto1[[#This Row],[Repact]]=1,IF(Projeto1[[#This Row],[éhoje]]&lt;Projeto1[[#This Row],[Data Repactuada]],0,1),IF(Projeto1[[#This Row],[éhoje]]&gt;Projeto1[[#This Row],[Data Fim Prevista]],1,0)))))</f>
        <v>1</v>
      </c>
      <c r="S15" s="29">
        <f>IF(Projeto1[[#This Row],[Data Repactuada]]&lt;&gt;"",1,0)</f>
        <v>0</v>
      </c>
      <c r="T15" s="30">
        <f>IF(Projeto1[[#This Row],[Concluída]]&lt;&gt;"",1,0)</f>
        <v>0</v>
      </c>
    </row>
    <row r="16" spans="1:20" x14ac:dyDescent="0.25"/>
    <row r="17" spans="2:20" x14ac:dyDescent="0.25"/>
    <row r="18" spans="2:20" s="43" customFormat="1" ht="21" customHeight="1" x14ac:dyDescent="0.25">
      <c r="B18" s="38" t="s">
        <v>141</v>
      </c>
      <c r="C18" s="129" t="str">
        <f>'2'!$H$6</f>
        <v>teste</v>
      </c>
      <c r="D18" s="129"/>
      <c r="E18" s="129"/>
      <c r="F18" s="129"/>
      <c r="G18" s="129"/>
      <c r="H18" s="68" t="s">
        <v>138</v>
      </c>
      <c r="I18" s="39">
        <f>'2'!$H$11</f>
        <v>43497</v>
      </c>
      <c r="J18" s="40" t="s">
        <v>140</v>
      </c>
      <c r="K18" s="39">
        <f>'2'!$AB$11</f>
        <v>43708</v>
      </c>
      <c r="L18" s="41"/>
      <c r="M18" s="42"/>
      <c r="O18" s="47" t="s">
        <v>150</v>
      </c>
      <c r="P18" s="46"/>
      <c r="Q18" s="46"/>
      <c r="R18" s="46"/>
      <c r="S18" s="46"/>
      <c r="T18" s="46"/>
    </row>
    <row r="19" spans="2:20" s="23" customFormat="1" ht="31.5" hidden="1" customHeight="1" outlineLevel="1" x14ac:dyDescent="0.2">
      <c r="B19" s="31" t="s">
        <v>37</v>
      </c>
      <c r="C19" s="31" t="s">
        <v>139</v>
      </c>
      <c r="D19" s="31" t="s">
        <v>137</v>
      </c>
      <c r="E19" s="31" t="s">
        <v>116</v>
      </c>
      <c r="F19" s="31" t="s">
        <v>117</v>
      </c>
      <c r="G19" s="31" t="s">
        <v>118</v>
      </c>
      <c r="H19" s="31" t="s">
        <v>119</v>
      </c>
      <c r="I19" s="31" t="s">
        <v>120</v>
      </c>
      <c r="J19" s="31" t="s">
        <v>121</v>
      </c>
      <c r="K19" s="32" t="s">
        <v>122</v>
      </c>
      <c r="L19" s="32" t="s">
        <v>123</v>
      </c>
      <c r="M19" s="32" t="s">
        <v>124</v>
      </c>
      <c r="N19" s="28" t="s">
        <v>125</v>
      </c>
      <c r="O19" s="33" t="s">
        <v>126</v>
      </c>
      <c r="P19" s="32" t="s">
        <v>127</v>
      </c>
      <c r="Q19" s="32" t="s">
        <v>128</v>
      </c>
      <c r="R19" s="32" t="s">
        <v>129</v>
      </c>
      <c r="S19" s="32" t="s">
        <v>130</v>
      </c>
      <c r="T19" s="32" t="s">
        <v>131</v>
      </c>
    </row>
    <row r="20" spans="2:20" s="22" customFormat="1" ht="15.75" hidden="1" outlineLevel="1" x14ac:dyDescent="0.25">
      <c r="B20" s="44">
        <f>'2'!$B$32</f>
        <v>0</v>
      </c>
      <c r="C20" s="45">
        <f>'2'!$Z$32</f>
        <v>0</v>
      </c>
      <c r="D20" s="45">
        <f>'2'!$AD$32</f>
        <v>0</v>
      </c>
      <c r="E20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0" s="25"/>
      <c r="G20" s="25"/>
      <c r="H20" s="24"/>
      <c r="I20" s="25"/>
      <c r="J20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0" s="27"/>
      <c r="L20" s="27"/>
      <c r="M20" s="27"/>
      <c r="N20" s="28"/>
      <c r="O20" s="34">
        <f t="shared" ref="O20:O29" ca="1" si="1">TODAY()</f>
        <v>43710</v>
      </c>
      <c r="P20" s="30">
        <f>IF(Projeto2[[#This Row],[Iniciada]]&lt;&gt;"",1,0)</f>
        <v>0</v>
      </c>
      <c r="Q20" s="30">
        <f ca="1">IF(Projeto2[[#This Row],[Já iniciada]]=1,0,IF(AND(Projeto2[[#This Row],[Data Início Prevista]]&lt;&gt;0,Projeto2[[#This Row],[éhoje]]&gt;Projeto2[[#This Row],[Data Início Prevista]]),1,0))</f>
        <v>0</v>
      </c>
      <c r="R20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0" s="29">
        <f>IF(Projeto2[[#This Row],[Data Repactuada]]&lt;&gt;"",1,0)</f>
        <v>0</v>
      </c>
      <c r="T20" s="30">
        <f>IF(Projeto2[[#This Row],[Concluída]]&lt;&gt;"",1,0)</f>
        <v>0</v>
      </c>
    </row>
    <row r="21" spans="2:20" s="22" customFormat="1" ht="15.75" hidden="1" outlineLevel="1" x14ac:dyDescent="0.25">
      <c r="B21" s="44">
        <f>'2'!$B$33</f>
        <v>0</v>
      </c>
      <c r="C21" s="45">
        <f>'2'!$Z$33</f>
        <v>0</v>
      </c>
      <c r="D21" s="45">
        <f>'2'!$AD$33</f>
        <v>0</v>
      </c>
      <c r="E21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1" s="25"/>
      <c r="G21" s="24"/>
      <c r="H21" s="24"/>
      <c r="I21" s="24"/>
      <c r="J21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1" s="27"/>
      <c r="L21" s="27"/>
      <c r="M21" s="27"/>
      <c r="N21" s="28"/>
      <c r="O21" s="34">
        <f t="shared" ca="1" si="1"/>
        <v>43710</v>
      </c>
      <c r="P21" s="30">
        <f>IF(Projeto2[[#This Row],[Iniciada]]&lt;&gt;"",1,0)</f>
        <v>0</v>
      </c>
      <c r="Q21" s="30">
        <f ca="1">IF(Projeto2[[#This Row],[Já iniciada]]=1,0,IF(AND(Projeto2[[#This Row],[Data Início Prevista]]&lt;&gt;0,Projeto2[[#This Row],[éhoje]]&gt;Projeto2[[#This Row],[Data Início Prevista]]),1,0))</f>
        <v>0</v>
      </c>
      <c r="R21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1" s="29">
        <f>IF(Projeto2[[#This Row],[Data Repactuada]]&lt;&gt;"",1,0)</f>
        <v>0</v>
      </c>
      <c r="T21" s="30">
        <f>IF(Projeto2[[#This Row],[Concluída]]&lt;&gt;"",1,0)</f>
        <v>0</v>
      </c>
    </row>
    <row r="22" spans="2:20" s="22" customFormat="1" ht="15.75" hidden="1" outlineLevel="1" x14ac:dyDescent="0.25">
      <c r="B22" s="44">
        <f>'2'!$B$34</f>
        <v>0</v>
      </c>
      <c r="C22" s="45">
        <f>'2'!$Z$34</f>
        <v>0</v>
      </c>
      <c r="D22" s="45">
        <f>'2'!$AD$34</f>
        <v>0</v>
      </c>
      <c r="E22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2" s="25"/>
      <c r="G22" s="24"/>
      <c r="H22" s="24"/>
      <c r="I22" s="24"/>
      <c r="J22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2" s="27"/>
      <c r="L22" s="27"/>
      <c r="M22" s="27"/>
      <c r="N22" s="28"/>
      <c r="O22" s="34">
        <f t="shared" ca="1" si="1"/>
        <v>43710</v>
      </c>
      <c r="P22" s="30">
        <f>IF(Projeto2[[#This Row],[Iniciada]]&lt;&gt;"",1,0)</f>
        <v>0</v>
      </c>
      <c r="Q22" s="30">
        <f ca="1">IF(Projeto2[[#This Row],[Já iniciada]]=1,0,IF(AND(Projeto2[[#This Row],[Data Início Prevista]]&lt;&gt;0,Projeto2[[#This Row],[éhoje]]&gt;Projeto2[[#This Row],[Data Início Prevista]]),1,0))</f>
        <v>0</v>
      </c>
      <c r="R22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2" s="29">
        <f>IF(Projeto2[[#This Row],[Data Repactuada]]&lt;&gt;"",1,0)</f>
        <v>0</v>
      </c>
      <c r="T22" s="30">
        <f>IF(Projeto2[[#This Row],[Concluída]]&lt;&gt;"",1,0)</f>
        <v>0</v>
      </c>
    </row>
    <row r="23" spans="2:20" s="22" customFormat="1" ht="15.75" hidden="1" outlineLevel="1" x14ac:dyDescent="0.25">
      <c r="B23" s="44">
        <f>'2'!$B$35</f>
        <v>0</v>
      </c>
      <c r="C23" s="45">
        <f>'2'!$Z$35</f>
        <v>0</v>
      </c>
      <c r="D23" s="45">
        <f>'2'!$AD$35</f>
        <v>0</v>
      </c>
      <c r="E23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3" s="25"/>
      <c r="G23" s="24"/>
      <c r="H23" s="24"/>
      <c r="I23" s="24"/>
      <c r="J23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3" s="27"/>
      <c r="L23" s="27"/>
      <c r="M23" s="27"/>
      <c r="N23" s="28"/>
      <c r="O23" s="34">
        <f t="shared" ca="1" si="1"/>
        <v>43710</v>
      </c>
      <c r="P23" s="30">
        <f>IF(Projeto2[[#This Row],[Iniciada]]&lt;&gt;"",1,0)</f>
        <v>0</v>
      </c>
      <c r="Q23" s="30">
        <f ca="1">IF(Projeto2[[#This Row],[Já iniciada]]=1,0,IF(AND(Projeto2[[#This Row],[Data Início Prevista]]&lt;&gt;0,Projeto2[[#This Row],[éhoje]]&gt;Projeto2[[#This Row],[Data Início Prevista]]),1,0))</f>
        <v>0</v>
      </c>
      <c r="R23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3" s="29">
        <f>IF(Projeto2[[#This Row],[Data Repactuada]]&lt;&gt;"",1,0)</f>
        <v>0</v>
      </c>
      <c r="T23" s="30">
        <f>IF(Projeto2[[#This Row],[Concluída]]&lt;&gt;"",1,0)</f>
        <v>0</v>
      </c>
    </row>
    <row r="24" spans="2:20" s="22" customFormat="1" ht="15.75" hidden="1" outlineLevel="1" x14ac:dyDescent="0.25">
      <c r="B24" s="44">
        <f>'2'!$B$36</f>
        <v>0</v>
      </c>
      <c r="C24" s="45">
        <f>'2'!$Z$36</f>
        <v>0</v>
      </c>
      <c r="D24" s="45">
        <f>'2'!$AD$36</f>
        <v>0</v>
      </c>
      <c r="E24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4" s="25"/>
      <c r="G24" s="24"/>
      <c r="H24" s="24"/>
      <c r="I24" s="24"/>
      <c r="J24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4" s="27"/>
      <c r="L24" s="27"/>
      <c r="M24" s="27"/>
      <c r="N24" s="28"/>
      <c r="O24" s="34">
        <f t="shared" ca="1" si="1"/>
        <v>43710</v>
      </c>
      <c r="P24" s="30">
        <f>IF(Projeto2[[#This Row],[Iniciada]]&lt;&gt;"",1,0)</f>
        <v>0</v>
      </c>
      <c r="Q24" s="30">
        <f ca="1">IF(Projeto2[[#This Row],[Já iniciada]]=1,0,IF(AND(Projeto2[[#This Row],[Data Início Prevista]]&lt;&gt;0,Projeto2[[#This Row],[éhoje]]&gt;Projeto2[[#This Row],[Data Início Prevista]]),1,0))</f>
        <v>0</v>
      </c>
      <c r="R24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4" s="29">
        <f>IF(Projeto2[[#This Row],[Data Repactuada]]&lt;&gt;"",1,0)</f>
        <v>0</v>
      </c>
      <c r="T24" s="30">
        <f>IF(Projeto2[[#This Row],[Concluída]]&lt;&gt;"",1,0)</f>
        <v>0</v>
      </c>
    </row>
    <row r="25" spans="2:20" s="22" customFormat="1" ht="15.75" hidden="1" outlineLevel="1" x14ac:dyDescent="0.25">
      <c r="B25" s="44">
        <f>'2'!$B$37</f>
        <v>0</v>
      </c>
      <c r="C25" s="45">
        <f>'2'!$Z$37</f>
        <v>0</v>
      </c>
      <c r="D25" s="45">
        <f>'2'!$AD$37</f>
        <v>0</v>
      </c>
      <c r="E25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5" s="25"/>
      <c r="G25" s="24"/>
      <c r="H25" s="24"/>
      <c r="I25" s="24"/>
      <c r="J25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5" s="27"/>
      <c r="L25" s="27"/>
      <c r="M25" s="27"/>
      <c r="N25" s="28"/>
      <c r="O25" s="34">
        <f t="shared" ca="1" si="1"/>
        <v>43710</v>
      </c>
      <c r="P25" s="30">
        <f>IF(Projeto2[[#This Row],[Iniciada]]&lt;&gt;"",1,0)</f>
        <v>0</v>
      </c>
      <c r="Q25" s="30">
        <f ca="1">IF(Projeto2[[#This Row],[Já iniciada]]=1,0,IF(AND(Projeto2[[#This Row],[Data Início Prevista]]&lt;&gt;0,Projeto2[[#This Row],[éhoje]]&gt;Projeto2[[#This Row],[Data Início Prevista]]),1,0))</f>
        <v>0</v>
      </c>
      <c r="R25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5" s="29">
        <f>IF(Projeto2[[#This Row],[Data Repactuada]]&lt;&gt;"",1,0)</f>
        <v>0</v>
      </c>
      <c r="T25" s="30">
        <f>IF(Projeto2[[#This Row],[Concluída]]&lt;&gt;"",1,0)</f>
        <v>0</v>
      </c>
    </row>
    <row r="26" spans="2:20" s="22" customFormat="1" ht="15.75" hidden="1" outlineLevel="1" x14ac:dyDescent="0.25">
      <c r="B26" s="44">
        <f>'2'!$B$38</f>
        <v>0</v>
      </c>
      <c r="C26" s="45">
        <f>'2'!$Z$38</f>
        <v>0</v>
      </c>
      <c r="D26" s="45">
        <f>'2'!$AD$38</f>
        <v>0</v>
      </c>
      <c r="E26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6" s="25"/>
      <c r="G26" s="24"/>
      <c r="H26" s="24"/>
      <c r="I26" s="24"/>
      <c r="J26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6" s="27"/>
      <c r="L26" s="27"/>
      <c r="M26" s="27"/>
      <c r="N26" s="28"/>
      <c r="O26" s="34">
        <f t="shared" ca="1" si="1"/>
        <v>43710</v>
      </c>
      <c r="P26" s="30">
        <f>IF(Projeto2[[#This Row],[Iniciada]]&lt;&gt;"",1,0)</f>
        <v>0</v>
      </c>
      <c r="Q26" s="30">
        <f ca="1">IF(Projeto2[[#This Row],[Já iniciada]]=1,0,IF(AND(Projeto2[[#This Row],[Data Início Prevista]]&lt;&gt;0,Projeto2[[#This Row],[éhoje]]&gt;Projeto2[[#This Row],[Data Início Prevista]]),1,0))</f>
        <v>0</v>
      </c>
      <c r="R26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6" s="29">
        <f>IF(Projeto2[[#This Row],[Data Repactuada]]&lt;&gt;"",1,0)</f>
        <v>0</v>
      </c>
      <c r="T26" s="30">
        <f>IF(Projeto2[[#This Row],[Concluída]]&lt;&gt;"",1,0)</f>
        <v>0</v>
      </c>
    </row>
    <row r="27" spans="2:20" s="22" customFormat="1" ht="15.75" hidden="1" outlineLevel="1" x14ac:dyDescent="0.25">
      <c r="B27" s="44">
        <f>'2'!$B$39</f>
        <v>0</v>
      </c>
      <c r="C27" s="45">
        <f>'2'!$Z$39</f>
        <v>0</v>
      </c>
      <c r="D27" s="45">
        <f>'2'!$AD$39</f>
        <v>0</v>
      </c>
      <c r="E27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7" s="25"/>
      <c r="G27" s="24"/>
      <c r="H27" s="24"/>
      <c r="I27" s="24"/>
      <c r="J27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7" s="27"/>
      <c r="L27" s="27"/>
      <c r="M27" s="27"/>
      <c r="N27" s="28"/>
      <c r="O27" s="34">
        <f t="shared" ca="1" si="1"/>
        <v>43710</v>
      </c>
      <c r="P27" s="30">
        <f>IF(Projeto2[[#This Row],[Iniciada]]&lt;&gt;"",1,0)</f>
        <v>0</v>
      </c>
      <c r="Q27" s="30">
        <f ca="1">IF(Projeto2[[#This Row],[Já iniciada]]=1,0,IF(AND(Projeto2[[#This Row],[Data Início Prevista]]&lt;&gt;0,Projeto2[[#This Row],[éhoje]]&gt;Projeto2[[#This Row],[Data Início Prevista]]),1,0))</f>
        <v>0</v>
      </c>
      <c r="R27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7" s="29">
        <f>IF(Projeto2[[#This Row],[Data Repactuada]]&lt;&gt;"",1,0)</f>
        <v>0</v>
      </c>
      <c r="T27" s="30">
        <f>IF(Projeto2[[#This Row],[Concluída]]&lt;&gt;"",1,0)</f>
        <v>0</v>
      </c>
    </row>
    <row r="28" spans="2:20" s="22" customFormat="1" ht="15.75" hidden="1" outlineLevel="1" x14ac:dyDescent="0.25">
      <c r="B28" s="44">
        <f>'2'!$B$40</f>
        <v>0</v>
      </c>
      <c r="C28" s="45">
        <f>'2'!$Z$40</f>
        <v>0</v>
      </c>
      <c r="D28" s="45">
        <f>'2'!$AD$40</f>
        <v>0</v>
      </c>
      <c r="E28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8" s="25"/>
      <c r="G28" s="24"/>
      <c r="H28" s="24"/>
      <c r="I28" s="24"/>
      <c r="J28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8" s="27"/>
      <c r="L28" s="27"/>
      <c r="M28" s="27"/>
      <c r="N28" s="28"/>
      <c r="O28" s="34">
        <f t="shared" ca="1" si="1"/>
        <v>43710</v>
      </c>
      <c r="P28" s="30">
        <f>IF(Projeto2[[#This Row],[Iniciada]]&lt;&gt;"",1,0)</f>
        <v>0</v>
      </c>
      <c r="Q28" s="30">
        <f ca="1">IF(Projeto2[[#This Row],[Já iniciada]]=1,0,IF(AND(Projeto2[[#This Row],[Data Início Prevista]]&lt;&gt;0,Projeto2[[#This Row],[éhoje]]&gt;Projeto2[[#This Row],[Data Início Prevista]]),1,0))</f>
        <v>0</v>
      </c>
      <c r="R28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8" s="29">
        <f>IF(Projeto2[[#This Row],[Data Repactuada]]&lt;&gt;"",1,0)</f>
        <v>0</v>
      </c>
      <c r="T28" s="30">
        <f>IF(Projeto2[[#This Row],[Concluída]]&lt;&gt;"",1,0)</f>
        <v>0</v>
      </c>
    </row>
    <row r="29" spans="2:20" s="22" customFormat="1" ht="15.75" hidden="1" outlineLevel="1" x14ac:dyDescent="0.25">
      <c r="B29" s="44">
        <f>'2'!$B$41</f>
        <v>0</v>
      </c>
      <c r="C29" s="45">
        <f>'2'!$Z$41</f>
        <v>0</v>
      </c>
      <c r="D29" s="45">
        <f>'2'!$AD$41</f>
        <v>0</v>
      </c>
      <c r="E29" s="26" t="str">
        <f ca="1">IF(Projeto2[[#This Row],[Data Início Prevista]]&lt;&gt;"",IF(Projeto2[[#This Row],[Concluída]]&lt;&gt;"","Concluída",IF(Projeto2[[#This Row],[atraso inicio]]=1,"Atrasada",IF(Projeto2[[#This Row],[atraso FIM]]=1,"Atrasada",IF(Projeto2[[#This Row],[Cancelada]]&lt;&gt;"","Cancelada",IF(Projeto2[[#This Row],[Iniciada]]&lt;&gt;"","Iniciada",""))))))</f>
        <v/>
      </c>
      <c r="F29" s="25"/>
      <c r="G29" s="24"/>
      <c r="H29" s="24"/>
      <c r="I29" s="24"/>
      <c r="J29" s="37" t="str">
        <f ca="1">IF(Projeto2[[#This Row],[Status]]&lt;&gt;"Concluída","",IF(Projeto2[[#This Row],[Data Fim Real da Fase]]="","",IF(AND(Projeto2[[#This Row],[Status]]="Concluída",Projeto2[[#This Row],[Data Fim Real da Fase]]&lt;&gt;"",Projeto2[[#This Row],[Data Repactuada]]&lt;&gt;""),Projeto2[[#This Row],[Data Fim Real da Fase]]-Projeto2[[#This Row],[Data Repactuada]],Projeto2[[#This Row],[Data Fim Real da Fase]]-Projeto2[[#This Row],[Data Fim Prevista]])))</f>
        <v/>
      </c>
      <c r="K29" s="27"/>
      <c r="L29" s="27"/>
      <c r="M29" s="27"/>
      <c r="N29" s="28"/>
      <c r="O29" s="34">
        <f t="shared" ca="1" si="1"/>
        <v>43710</v>
      </c>
      <c r="P29" s="30">
        <f>IF(Projeto2[[#This Row],[Iniciada]]&lt;&gt;"",1,0)</f>
        <v>0</v>
      </c>
      <c r="Q29" s="30">
        <f ca="1">IF(Projeto2[[#This Row],[Já iniciada]]=1,0,IF(AND(Projeto2[[#This Row],[Data Início Prevista]]&lt;&gt;0,Projeto2[[#This Row],[éhoje]]&gt;Projeto2[[#This Row],[Data Início Prevista]]),1,0))</f>
        <v>0</v>
      </c>
      <c r="R29" s="30">
        <f>IF(Projeto2[[#This Row],[Concluido]]=1,0,IF(Projeto2[[#This Row],[Cancelada]]&lt;&gt;"",0,IF(Projeto2[[#This Row],[Data Fim Prevista]]=0,0,IF(Projeto2[[#This Row],[Repact]]=1,IF(Projeto2[[#This Row],[éhoje]]&lt;Projeto2[[#This Row],[Data Repactuada]],0,1),IF(Projeto2[[#This Row],[éhoje]]&gt;Projeto2[[#This Row],[Data Fim Prevista]],1,0)))))</f>
        <v>0</v>
      </c>
      <c r="S29" s="29">
        <f>IF(Projeto2[[#This Row],[Data Repactuada]]&lt;&gt;"",1,0)</f>
        <v>0</v>
      </c>
      <c r="T29" s="30">
        <f>IF(Projeto2[[#This Row],[Concluída]]&lt;&gt;"",1,0)</f>
        <v>0</v>
      </c>
    </row>
    <row r="30" spans="2:20" collapsed="1" x14ac:dyDescent="0.25"/>
    <row r="31" spans="2:20" x14ac:dyDescent="0.25"/>
    <row r="32" spans="2:20" s="43" customFormat="1" ht="21" customHeight="1" x14ac:dyDescent="0.25">
      <c r="B32" s="38" t="s">
        <v>142</v>
      </c>
      <c r="C32" s="129" t="str">
        <f>'3'!$H$6</f>
        <v>teste</v>
      </c>
      <c r="D32" s="129"/>
      <c r="E32" s="129"/>
      <c r="F32" s="129"/>
      <c r="G32" s="129"/>
      <c r="H32" s="68" t="s">
        <v>138</v>
      </c>
      <c r="I32" s="39">
        <f>'3'!$H$11</f>
        <v>43497</v>
      </c>
      <c r="J32" s="40" t="s">
        <v>140</v>
      </c>
      <c r="K32" s="39">
        <f>'3'!$AB$11</f>
        <v>43708</v>
      </c>
      <c r="L32" s="41"/>
      <c r="M32" s="42"/>
      <c r="O32" s="47" t="s">
        <v>150</v>
      </c>
      <c r="P32" s="46"/>
      <c r="Q32" s="46"/>
      <c r="R32" s="46"/>
      <c r="S32" s="46"/>
      <c r="T32" s="46"/>
    </row>
    <row r="33" spans="2:20" s="23" customFormat="1" ht="31.5" hidden="1" customHeight="1" outlineLevel="1" x14ac:dyDescent="0.2">
      <c r="B33" s="31" t="s">
        <v>37</v>
      </c>
      <c r="C33" s="31" t="s">
        <v>139</v>
      </c>
      <c r="D33" s="31" t="s">
        <v>137</v>
      </c>
      <c r="E33" s="31" t="s">
        <v>116</v>
      </c>
      <c r="F33" s="31" t="s">
        <v>117</v>
      </c>
      <c r="G33" s="31" t="s">
        <v>118</v>
      </c>
      <c r="H33" s="31" t="s">
        <v>119</v>
      </c>
      <c r="I33" s="31" t="s">
        <v>120</v>
      </c>
      <c r="J33" s="31" t="s">
        <v>121</v>
      </c>
      <c r="K33" s="32" t="s">
        <v>122</v>
      </c>
      <c r="L33" s="32" t="s">
        <v>123</v>
      </c>
      <c r="M33" s="32" t="s">
        <v>124</v>
      </c>
      <c r="N33" s="28" t="s">
        <v>125</v>
      </c>
      <c r="O33" s="33" t="s">
        <v>126</v>
      </c>
      <c r="P33" s="32" t="s">
        <v>127</v>
      </c>
      <c r="Q33" s="32" t="s">
        <v>128</v>
      </c>
      <c r="R33" s="32" t="s">
        <v>129</v>
      </c>
      <c r="S33" s="32" t="s">
        <v>130</v>
      </c>
      <c r="T33" s="32" t="s">
        <v>131</v>
      </c>
    </row>
    <row r="34" spans="2:20" s="22" customFormat="1" ht="15.75" hidden="1" outlineLevel="1" x14ac:dyDescent="0.25">
      <c r="B34" s="44">
        <f>'3'!$B$32</f>
        <v>0</v>
      </c>
      <c r="C34" s="45">
        <f>'3'!$Z$32</f>
        <v>0</v>
      </c>
      <c r="D34" s="45">
        <f>'3'!$AD$32</f>
        <v>0</v>
      </c>
      <c r="E34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34" s="25"/>
      <c r="G34" s="25"/>
      <c r="H34" s="24"/>
      <c r="I34" s="25"/>
      <c r="J34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34" s="27"/>
      <c r="L34" s="27"/>
      <c r="M34" s="27"/>
      <c r="N34" s="28"/>
      <c r="O34" s="34">
        <f t="shared" ref="O34:O43" ca="1" si="2">TODAY()</f>
        <v>43710</v>
      </c>
      <c r="P34" s="30">
        <f>IF(Projeto3[[#This Row],[Iniciada]]&lt;&gt;"",1,0)</f>
        <v>0</v>
      </c>
      <c r="Q34" s="30">
        <f ca="1">IF(Projeto3[[#This Row],[Já iniciada]]=1,0,IF(AND(Projeto3[[#This Row],[Data Início Prevista]]&lt;&gt;0,Projeto3[[#This Row],[éhoje]]&gt;Projeto3[[#This Row],[Data Início Prevista]]),1,0))</f>
        <v>0</v>
      </c>
      <c r="R34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34" s="29">
        <f>IF(Projeto3[[#This Row],[Data Repactuada]]&lt;&gt;"",1,0)</f>
        <v>0</v>
      </c>
      <c r="T34" s="30">
        <f>IF(Projeto3[[#This Row],[Concluída]]&lt;&gt;"",1,0)</f>
        <v>0</v>
      </c>
    </row>
    <row r="35" spans="2:20" s="22" customFormat="1" ht="15.75" hidden="1" outlineLevel="1" x14ac:dyDescent="0.25">
      <c r="B35" s="44">
        <f>'3'!$B$33</f>
        <v>0</v>
      </c>
      <c r="C35" s="45">
        <f>'3'!$Z$33</f>
        <v>0</v>
      </c>
      <c r="D35" s="45">
        <f>'3'!$AD$33</f>
        <v>0</v>
      </c>
      <c r="E35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35" s="25"/>
      <c r="G35" s="24"/>
      <c r="H35" s="24"/>
      <c r="I35" s="24"/>
      <c r="J35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35" s="27"/>
      <c r="L35" s="27"/>
      <c r="M35" s="27"/>
      <c r="N35" s="28"/>
      <c r="O35" s="34">
        <f t="shared" ca="1" si="2"/>
        <v>43710</v>
      </c>
      <c r="P35" s="30">
        <f>IF(Projeto3[[#This Row],[Iniciada]]&lt;&gt;"",1,0)</f>
        <v>0</v>
      </c>
      <c r="Q35" s="30">
        <f ca="1">IF(Projeto3[[#This Row],[Já iniciada]]=1,0,IF(AND(Projeto3[[#This Row],[Data Início Prevista]]&lt;&gt;0,Projeto3[[#This Row],[éhoje]]&gt;Projeto3[[#This Row],[Data Início Prevista]]),1,0))</f>
        <v>0</v>
      </c>
      <c r="R35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35" s="29">
        <f>IF(Projeto3[[#This Row],[Data Repactuada]]&lt;&gt;"",1,0)</f>
        <v>0</v>
      </c>
      <c r="T35" s="30">
        <f>IF(Projeto3[[#This Row],[Concluída]]&lt;&gt;"",1,0)</f>
        <v>0</v>
      </c>
    </row>
    <row r="36" spans="2:20" s="22" customFormat="1" ht="15.75" hidden="1" outlineLevel="1" x14ac:dyDescent="0.25">
      <c r="B36" s="44">
        <f>'3'!$B$34</f>
        <v>0</v>
      </c>
      <c r="C36" s="45">
        <f>'3'!$Z$34</f>
        <v>0</v>
      </c>
      <c r="D36" s="45">
        <f>'3'!$AD$34</f>
        <v>0</v>
      </c>
      <c r="E36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36" s="25"/>
      <c r="G36" s="24"/>
      <c r="H36" s="24"/>
      <c r="I36" s="24"/>
      <c r="J36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36" s="27"/>
      <c r="L36" s="27"/>
      <c r="M36" s="27"/>
      <c r="N36" s="28"/>
      <c r="O36" s="34">
        <f t="shared" ca="1" si="2"/>
        <v>43710</v>
      </c>
      <c r="P36" s="30">
        <f>IF(Projeto3[[#This Row],[Iniciada]]&lt;&gt;"",1,0)</f>
        <v>0</v>
      </c>
      <c r="Q36" s="30">
        <f ca="1">IF(Projeto3[[#This Row],[Já iniciada]]=1,0,IF(AND(Projeto3[[#This Row],[Data Início Prevista]]&lt;&gt;0,Projeto3[[#This Row],[éhoje]]&gt;Projeto3[[#This Row],[Data Início Prevista]]),1,0))</f>
        <v>0</v>
      </c>
      <c r="R36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36" s="29">
        <f>IF(Projeto3[[#This Row],[Data Repactuada]]&lt;&gt;"",1,0)</f>
        <v>0</v>
      </c>
      <c r="T36" s="30">
        <f>IF(Projeto3[[#This Row],[Concluída]]&lt;&gt;"",1,0)</f>
        <v>0</v>
      </c>
    </row>
    <row r="37" spans="2:20" s="22" customFormat="1" ht="15.75" hidden="1" outlineLevel="1" x14ac:dyDescent="0.25">
      <c r="B37" s="44">
        <f>'3'!$B$35</f>
        <v>0</v>
      </c>
      <c r="C37" s="45">
        <f>'3'!$Z$35</f>
        <v>0</v>
      </c>
      <c r="D37" s="45">
        <f>'3'!$AD$35</f>
        <v>0</v>
      </c>
      <c r="E37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37" s="25"/>
      <c r="G37" s="24"/>
      <c r="H37" s="24"/>
      <c r="I37" s="24"/>
      <c r="J37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37" s="27"/>
      <c r="L37" s="27"/>
      <c r="M37" s="27"/>
      <c r="N37" s="28"/>
      <c r="O37" s="34">
        <f t="shared" ca="1" si="2"/>
        <v>43710</v>
      </c>
      <c r="P37" s="30">
        <f>IF(Projeto3[[#This Row],[Iniciada]]&lt;&gt;"",1,0)</f>
        <v>0</v>
      </c>
      <c r="Q37" s="30">
        <f ca="1">IF(Projeto3[[#This Row],[Já iniciada]]=1,0,IF(AND(Projeto3[[#This Row],[Data Início Prevista]]&lt;&gt;0,Projeto3[[#This Row],[éhoje]]&gt;Projeto3[[#This Row],[Data Início Prevista]]),1,0))</f>
        <v>0</v>
      </c>
      <c r="R37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37" s="29">
        <f>IF(Projeto3[[#This Row],[Data Repactuada]]&lt;&gt;"",1,0)</f>
        <v>0</v>
      </c>
      <c r="T37" s="30">
        <f>IF(Projeto3[[#This Row],[Concluída]]&lt;&gt;"",1,0)</f>
        <v>0</v>
      </c>
    </row>
    <row r="38" spans="2:20" s="22" customFormat="1" ht="15.75" hidden="1" outlineLevel="1" x14ac:dyDescent="0.25">
      <c r="B38" s="44">
        <f>'3'!$B$36</f>
        <v>0</v>
      </c>
      <c r="C38" s="45">
        <f>'3'!$Z$36</f>
        <v>0</v>
      </c>
      <c r="D38" s="45">
        <f>'3'!$AD$36</f>
        <v>0</v>
      </c>
      <c r="E38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38" s="25"/>
      <c r="G38" s="24"/>
      <c r="H38" s="24"/>
      <c r="I38" s="24"/>
      <c r="J38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38" s="27"/>
      <c r="L38" s="27"/>
      <c r="M38" s="27"/>
      <c r="N38" s="28"/>
      <c r="O38" s="34">
        <f t="shared" ca="1" si="2"/>
        <v>43710</v>
      </c>
      <c r="P38" s="30">
        <f>IF(Projeto3[[#This Row],[Iniciada]]&lt;&gt;"",1,0)</f>
        <v>0</v>
      </c>
      <c r="Q38" s="30">
        <f ca="1">IF(Projeto3[[#This Row],[Já iniciada]]=1,0,IF(AND(Projeto3[[#This Row],[Data Início Prevista]]&lt;&gt;0,Projeto3[[#This Row],[éhoje]]&gt;Projeto3[[#This Row],[Data Início Prevista]]),1,0))</f>
        <v>0</v>
      </c>
      <c r="R38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38" s="29">
        <f>IF(Projeto3[[#This Row],[Data Repactuada]]&lt;&gt;"",1,0)</f>
        <v>0</v>
      </c>
      <c r="T38" s="30">
        <f>IF(Projeto3[[#This Row],[Concluída]]&lt;&gt;"",1,0)</f>
        <v>0</v>
      </c>
    </row>
    <row r="39" spans="2:20" s="22" customFormat="1" ht="15.75" hidden="1" outlineLevel="1" x14ac:dyDescent="0.25">
      <c r="B39" s="44">
        <f>'3'!$B$37</f>
        <v>0</v>
      </c>
      <c r="C39" s="45">
        <f>'3'!$Z$37</f>
        <v>0</v>
      </c>
      <c r="D39" s="45">
        <f>'3'!$AD$37</f>
        <v>0</v>
      </c>
      <c r="E39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39" s="25"/>
      <c r="G39" s="24"/>
      <c r="H39" s="24"/>
      <c r="I39" s="24"/>
      <c r="J39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39" s="27"/>
      <c r="L39" s="27"/>
      <c r="M39" s="27"/>
      <c r="N39" s="28"/>
      <c r="O39" s="34">
        <f t="shared" ca="1" si="2"/>
        <v>43710</v>
      </c>
      <c r="P39" s="30">
        <f>IF(Projeto3[[#This Row],[Iniciada]]&lt;&gt;"",1,0)</f>
        <v>0</v>
      </c>
      <c r="Q39" s="30">
        <f ca="1">IF(Projeto3[[#This Row],[Já iniciada]]=1,0,IF(AND(Projeto3[[#This Row],[Data Início Prevista]]&lt;&gt;0,Projeto3[[#This Row],[éhoje]]&gt;Projeto3[[#This Row],[Data Início Prevista]]),1,0))</f>
        <v>0</v>
      </c>
      <c r="R39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39" s="29">
        <f>IF(Projeto3[[#This Row],[Data Repactuada]]&lt;&gt;"",1,0)</f>
        <v>0</v>
      </c>
      <c r="T39" s="30">
        <f>IF(Projeto3[[#This Row],[Concluída]]&lt;&gt;"",1,0)</f>
        <v>0</v>
      </c>
    </row>
    <row r="40" spans="2:20" s="22" customFormat="1" ht="15.75" hidden="1" outlineLevel="1" x14ac:dyDescent="0.25">
      <c r="B40" s="44">
        <f>'3'!$B$38</f>
        <v>0</v>
      </c>
      <c r="C40" s="45">
        <f>'3'!$Z$38</f>
        <v>0</v>
      </c>
      <c r="D40" s="45">
        <f>'3'!$AD$38</f>
        <v>0</v>
      </c>
      <c r="E40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40" s="25"/>
      <c r="G40" s="24"/>
      <c r="H40" s="24"/>
      <c r="I40" s="24"/>
      <c r="J40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40" s="27"/>
      <c r="L40" s="27"/>
      <c r="M40" s="27"/>
      <c r="N40" s="28"/>
      <c r="O40" s="34">
        <f t="shared" ca="1" si="2"/>
        <v>43710</v>
      </c>
      <c r="P40" s="30">
        <f>IF(Projeto3[[#This Row],[Iniciada]]&lt;&gt;"",1,0)</f>
        <v>0</v>
      </c>
      <c r="Q40" s="30">
        <f ca="1">IF(Projeto3[[#This Row],[Já iniciada]]=1,0,IF(AND(Projeto3[[#This Row],[Data Início Prevista]]&lt;&gt;0,Projeto3[[#This Row],[éhoje]]&gt;Projeto3[[#This Row],[Data Início Prevista]]),1,0))</f>
        <v>0</v>
      </c>
      <c r="R40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40" s="29">
        <f>IF(Projeto3[[#This Row],[Data Repactuada]]&lt;&gt;"",1,0)</f>
        <v>0</v>
      </c>
      <c r="T40" s="30">
        <f>IF(Projeto3[[#This Row],[Concluída]]&lt;&gt;"",1,0)</f>
        <v>0</v>
      </c>
    </row>
    <row r="41" spans="2:20" s="22" customFormat="1" ht="15.75" hidden="1" outlineLevel="1" x14ac:dyDescent="0.25">
      <c r="B41" s="44">
        <f>'3'!$B$39</f>
        <v>0</v>
      </c>
      <c r="C41" s="45">
        <f>'3'!$Z$39</f>
        <v>0</v>
      </c>
      <c r="D41" s="45">
        <f>'3'!$AD$39</f>
        <v>0</v>
      </c>
      <c r="E41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41" s="25"/>
      <c r="G41" s="24"/>
      <c r="H41" s="24"/>
      <c r="I41" s="24"/>
      <c r="J41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41" s="27"/>
      <c r="L41" s="27"/>
      <c r="M41" s="27"/>
      <c r="N41" s="28"/>
      <c r="O41" s="34">
        <f t="shared" ca="1" si="2"/>
        <v>43710</v>
      </c>
      <c r="P41" s="30">
        <f>IF(Projeto3[[#This Row],[Iniciada]]&lt;&gt;"",1,0)</f>
        <v>0</v>
      </c>
      <c r="Q41" s="30">
        <f ca="1">IF(Projeto3[[#This Row],[Já iniciada]]=1,0,IF(AND(Projeto3[[#This Row],[Data Início Prevista]]&lt;&gt;0,Projeto3[[#This Row],[éhoje]]&gt;Projeto3[[#This Row],[Data Início Prevista]]),1,0))</f>
        <v>0</v>
      </c>
      <c r="R41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41" s="29">
        <f>IF(Projeto3[[#This Row],[Data Repactuada]]&lt;&gt;"",1,0)</f>
        <v>0</v>
      </c>
      <c r="T41" s="30">
        <f>IF(Projeto3[[#This Row],[Concluída]]&lt;&gt;"",1,0)</f>
        <v>0</v>
      </c>
    </row>
    <row r="42" spans="2:20" s="22" customFormat="1" ht="15.75" hidden="1" outlineLevel="1" x14ac:dyDescent="0.25">
      <c r="B42" s="44">
        <f>'3'!$B$40</f>
        <v>0</v>
      </c>
      <c r="C42" s="45">
        <f>'3'!$Z$40</f>
        <v>0</v>
      </c>
      <c r="D42" s="45">
        <f>'3'!$AD$40</f>
        <v>0</v>
      </c>
      <c r="E42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42" s="25"/>
      <c r="G42" s="24"/>
      <c r="H42" s="24"/>
      <c r="I42" s="24"/>
      <c r="J42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42" s="27"/>
      <c r="L42" s="27"/>
      <c r="M42" s="27"/>
      <c r="N42" s="28"/>
      <c r="O42" s="34">
        <f t="shared" ca="1" si="2"/>
        <v>43710</v>
      </c>
      <c r="P42" s="30">
        <f>IF(Projeto3[[#This Row],[Iniciada]]&lt;&gt;"",1,0)</f>
        <v>0</v>
      </c>
      <c r="Q42" s="30">
        <f ca="1">IF(Projeto3[[#This Row],[Já iniciada]]=1,0,IF(AND(Projeto3[[#This Row],[Data Início Prevista]]&lt;&gt;0,Projeto3[[#This Row],[éhoje]]&gt;Projeto3[[#This Row],[Data Início Prevista]]),1,0))</f>
        <v>0</v>
      </c>
      <c r="R42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42" s="29">
        <f>IF(Projeto3[[#This Row],[Data Repactuada]]&lt;&gt;"",1,0)</f>
        <v>0</v>
      </c>
      <c r="T42" s="30">
        <f>IF(Projeto3[[#This Row],[Concluída]]&lt;&gt;"",1,0)</f>
        <v>0</v>
      </c>
    </row>
    <row r="43" spans="2:20" s="22" customFormat="1" ht="15.75" hidden="1" outlineLevel="1" x14ac:dyDescent="0.25">
      <c r="B43" s="44">
        <f>'3'!$B$41</f>
        <v>0</v>
      </c>
      <c r="C43" s="45">
        <f>'3'!$Z$41</f>
        <v>0</v>
      </c>
      <c r="D43" s="45">
        <f>'3'!$AD$41</f>
        <v>0</v>
      </c>
      <c r="E43" s="26" t="str">
        <f ca="1">IF(Projeto3[[#This Row],[Data Início Prevista]]&lt;&gt;"",IF(Projeto3[[#This Row],[Concluída]]&lt;&gt;"","Concluída",IF(Projeto3[[#This Row],[atraso inicio]]=1,"Atrasada",IF(Projeto3[[#This Row],[atraso FIM]]=1,"Atrasada",IF(Projeto3[[#This Row],[Cancelada]]&lt;&gt;"","Cancelada",IF(Projeto3[[#This Row],[Iniciada]]&lt;&gt;"","Iniciada",""))))))</f>
        <v/>
      </c>
      <c r="F43" s="25"/>
      <c r="G43" s="24"/>
      <c r="H43" s="24"/>
      <c r="I43" s="24"/>
      <c r="J43" s="37" t="str">
        <f ca="1">IF(Projeto3[[#This Row],[Status]]&lt;&gt;"Concluída","",IF(Projeto3[[#This Row],[Data Fim Real da Fase]]="","",IF(AND(Projeto3[[#This Row],[Status]]="Concluída",Projeto3[[#This Row],[Data Fim Real da Fase]]&lt;&gt;"",Projeto3[[#This Row],[Data Repactuada]]&lt;&gt;""),Projeto3[[#This Row],[Data Fim Real da Fase]]-Projeto3[[#This Row],[Data Repactuada]],Projeto3[[#This Row],[Data Fim Real da Fase]]-Projeto3[[#This Row],[Data Fim Prevista]])))</f>
        <v/>
      </c>
      <c r="K43" s="27"/>
      <c r="L43" s="27"/>
      <c r="M43" s="27"/>
      <c r="N43" s="28"/>
      <c r="O43" s="34">
        <f t="shared" ca="1" si="2"/>
        <v>43710</v>
      </c>
      <c r="P43" s="30">
        <f>IF(Projeto3[[#This Row],[Iniciada]]&lt;&gt;"",1,0)</f>
        <v>0</v>
      </c>
      <c r="Q43" s="30">
        <f ca="1">IF(Projeto3[[#This Row],[Já iniciada]]=1,0,IF(AND(Projeto3[[#This Row],[Data Início Prevista]]&lt;&gt;0,Projeto3[[#This Row],[éhoje]]&gt;Projeto3[[#This Row],[Data Início Prevista]]),1,0))</f>
        <v>0</v>
      </c>
      <c r="R43" s="30">
        <f>IF(Projeto3[[#This Row],[Concluido]]=1,0,IF(Projeto3[[#This Row],[Cancelada]]&lt;&gt;"",0,IF(Projeto3[[#This Row],[Data Fim Prevista]]=0,0,IF(Projeto3[[#This Row],[Repact]]=1,IF(Projeto3[[#This Row],[éhoje]]&lt;Projeto3[[#This Row],[Data Repactuada]],0,1),IF(Projeto3[[#This Row],[éhoje]]&gt;Projeto3[[#This Row],[Data Fim Prevista]],1,0)))))</f>
        <v>0</v>
      </c>
      <c r="S43" s="29">
        <f>IF(Projeto3[[#This Row],[Data Repactuada]]&lt;&gt;"",1,0)</f>
        <v>0</v>
      </c>
      <c r="T43" s="30">
        <f>IF(Projeto3[[#This Row],[Concluída]]&lt;&gt;"",1,0)</f>
        <v>0</v>
      </c>
    </row>
    <row r="44" spans="2:20" collapsed="1" x14ac:dyDescent="0.25"/>
    <row r="45" spans="2:20" x14ac:dyDescent="0.25"/>
    <row r="46" spans="2:20" s="43" customFormat="1" ht="21" customHeight="1" x14ac:dyDescent="0.25">
      <c r="B46" s="38" t="s">
        <v>143</v>
      </c>
      <c r="C46" s="129" t="str">
        <f>'4'!$H$6</f>
        <v>&lt;Nome curto / apelido / código do projeto &gt;</v>
      </c>
      <c r="D46" s="129"/>
      <c r="E46" s="129"/>
      <c r="F46" s="129"/>
      <c r="G46" s="129"/>
      <c r="H46" s="68" t="s">
        <v>138</v>
      </c>
      <c r="I46" s="39">
        <f>'4'!$H$11</f>
        <v>0</v>
      </c>
      <c r="J46" s="40" t="s">
        <v>140</v>
      </c>
      <c r="K46" s="39">
        <f>'4'!$AB$11</f>
        <v>0</v>
      </c>
      <c r="L46" s="41"/>
      <c r="M46" s="42"/>
      <c r="O46" s="47" t="s">
        <v>150</v>
      </c>
      <c r="P46" s="46"/>
      <c r="Q46" s="46"/>
      <c r="R46" s="46"/>
      <c r="S46" s="46"/>
      <c r="T46" s="46"/>
    </row>
    <row r="47" spans="2:20" s="23" customFormat="1" ht="31.5" hidden="1" customHeight="1" outlineLevel="1" x14ac:dyDescent="0.2">
      <c r="B47" s="31" t="s">
        <v>37</v>
      </c>
      <c r="C47" s="31" t="s">
        <v>139</v>
      </c>
      <c r="D47" s="31" t="s">
        <v>137</v>
      </c>
      <c r="E47" s="31" t="s">
        <v>116</v>
      </c>
      <c r="F47" s="31" t="s">
        <v>117</v>
      </c>
      <c r="G47" s="31" t="s">
        <v>118</v>
      </c>
      <c r="H47" s="31" t="s">
        <v>119</v>
      </c>
      <c r="I47" s="31" t="s">
        <v>120</v>
      </c>
      <c r="J47" s="31" t="s">
        <v>121</v>
      </c>
      <c r="K47" s="32" t="s">
        <v>122</v>
      </c>
      <c r="L47" s="32" t="s">
        <v>123</v>
      </c>
      <c r="M47" s="32" t="s">
        <v>124</v>
      </c>
      <c r="N47" s="28" t="s">
        <v>125</v>
      </c>
      <c r="O47" s="33" t="s">
        <v>126</v>
      </c>
      <c r="P47" s="32" t="s">
        <v>127</v>
      </c>
      <c r="Q47" s="32" t="s">
        <v>128</v>
      </c>
      <c r="R47" s="32" t="s">
        <v>129</v>
      </c>
      <c r="S47" s="32" t="s">
        <v>130</v>
      </c>
      <c r="T47" s="32" t="s">
        <v>131</v>
      </c>
    </row>
    <row r="48" spans="2:20" s="22" customFormat="1" ht="15.75" hidden="1" outlineLevel="1" x14ac:dyDescent="0.25">
      <c r="B48" s="44">
        <f>'4'!$B$32</f>
        <v>0</v>
      </c>
      <c r="C48" s="45">
        <f>'4'!$Z$32</f>
        <v>0</v>
      </c>
      <c r="D48" s="45">
        <f>'4'!$AD$32</f>
        <v>0</v>
      </c>
      <c r="E48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48" s="25"/>
      <c r="G48" s="25"/>
      <c r="H48" s="24"/>
      <c r="I48" s="25"/>
      <c r="J48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48" s="27"/>
      <c r="L48" s="27"/>
      <c r="M48" s="27"/>
      <c r="N48" s="28"/>
      <c r="O48" s="34">
        <f t="shared" ref="O48:O57" ca="1" si="3">TODAY()</f>
        <v>43710</v>
      </c>
      <c r="P48" s="30">
        <f>IF(Projeto4[[#This Row],[Iniciada]]&lt;&gt;"",1,0)</f>
        <v>0</v>
      </c>
      <c r="Q48" s="30">
        <f ca="1">IF(Projeto4[[#This Row],[Já iniciada]]=1,0,IF(AND(Projeto4[[#This Row],[Data Início Prevista]]&lt;&gt;0,Projeto4[[#This Row],[éhoje]]&gt;Projeto4[[#This Row],[Data Início Prevista]]),1,0))</f>
        <v>0</v>
      </c>
      <c r="R48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48" s="29">
        <f>IF(Projeto4[[#This Row],[Data Repactuada]]&lt;&gt;"",1,0)</f>
        <v>0</v>
      </c>
      <c r="T48" s="30">
        <f>IF(Projeto4[[#This Row],[Concluída]]&lt;&gt;"",1,0)</f>
        <v>0</v>
      </c>
    </row>
    <row r="49" spans="2:20" s="22" customFormat="1" ht="15.75" hidden="1" customHeight="1" outlineLevel="1" x14ac:dyDescent="0.25">
      <c r="B49" s="44">
        <f>'4'!$B$33</f>
        <v>0</v>
      </c>
      <c r="C49" s="45">
        <f>'4'!$Z$33</f>
        <v>0</v>
      </c>
      <c r="D49" s="45">
        <f>'4'!$AD$33</f>
        <v>0</v>
      </c>
      <c r="E49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49" s="25"/>
      <c r="G49" s="25"/>
      <c r="H49" s="24"/>
      <c r="I49" s="25"/>
      <c r="J49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49" s="27"/>
      <c r="L49" s="27"/>
      <c r="M49" s="27"/>
      <c r="N49" s="28"/>
      <c r="O49" s="34">
        <f t="shared" ca="1" si="3"/>
        <v>43710</v>
      </c>
      <c r="P49" s="30">
        <f>IF(Projeto4[[#This Row],[Iniciada]]&lt;&gt;"",1,0)</f>
        <v>0</v>
      </c>
      <c r="Q49" s="30">
        <f ca="1">IF(Projeto4[[#This Row],[Já iniciada]]=1,0,IF(AND(Projeto4[[#This Row],[Data Início Prevista]]&lt;&gt;0,Projeto4[[#This Row],[éhoje]]&gt;Projeto4[[#This Row],[Data Início Prevista]]),1,0))</f>
        <v>0</v>
      </c>
      <c r="R49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49" s="29">
        <f>IF(Projeto4[[#This Row],[Data Repactuada]]&lt;&gt;"",1,0)</f>
        <v>0</v>
      </c>
      <c r="T49" s="30">
        <f>IF(Projeto4[[#This Row],[Concluída]]&lt;&gt;"",1,0)</f>
        <v>0</v>
      </c>
    </row>
    <row r="50" spans="2:20" s="22" customFormat="1" ht="15.75" hidden="1" outlineLevel="1" x14ac:dyDescent="0.25">
      <c r="B50" s="44">
        <f>'4'!$B$34</f>
        <v>0</v>
      </c>
      <c r="C50" s="45">
        <f>'4'!$Z$34</f>
        <v>0</v>
      </c>
      <c r="D50" s="45">
        <f>'4'!$AD$34</f>
        <v>0</v>
      </c>
      <c r="E50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50" s="25"/>
      <c r="G50" s="24"/>
      <c r="H50" s="24"/>
      <c r="I50" s="24"/>
      <c r="J50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50" s="27"/>
      <c r="L50" s="27"/>
      <c r="M50" s="27"/>
      <c r="N50" s="28"/>
      <c r="O50" s="34">
        <f t="shared" ca="1" si="3"/>
        <v>43710</v>
      </c>
      <c r="P50" s="30">
        <f>IF(Projeto4[[#This Row],[Iniciada]]&lt;&gt;"",1,0)</f>
        <v>0</v>
      </c>
      <c r="Q50" s="30">
        <f ca="1">IF(Projeto4[[#This Row],[Já iniciada]]=1,0,IF(AND(Projeto4[[#This Row],[Data Início Prevista]]&lt;&gt;0,Projeto4[[#This Row],[éhoje]]&gt;Projeto4[[#This Row],[Data Início Prevista]]),1,0))</f>
        <v>0</v>
      </c>
      <c r="R50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50" s="29">
        <f>IF(Projeto4[[#This Row],[Data Repactuada]]&lt;&gt;"",1,0)</f>
        <v>0</v>
      </c>
      <c r="T50" s="30">
        <f>IF(Projeto4[[#This Row],[Concluída]]&lt;&gt;"",1,0)</f>
        <v>0</v>
      </c>
    </row>
    <row r="51" spans="2:20" s="22" customFormat="1" ht="15.75" hidden="1" outlineLevel="1" x14ac:dyDescent="0.25">
      <c r="B51" s="44">
        <f>'4'!$B$35</f>
        <v>0</v>
      </c>
      <c r="C51" s="45">
        <f>'4'!$Z$35</f>
        <v>0</v>
      </c>
      <c r="D51" s="45">
        <f>'4'!$AD$35</f>
        <v>0</v>
      </c>
      <c r="E51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51" s="25"/>
      <c r="G51" s="24"/>
      <c r="H51" s="24"/>
      <c r="I51" s="24"/>
      <c r="J51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51" s="27"/>
      <c r="L51" s="27"/>
      <c r="M51" s="27"/>
      <c r="N51" s="28"/>
      <c r="O51" s="34">
        <f t="shared" ca="1" si="3"/>
        <v>43710</v>
      </c>
      <c r="P51" s="30">
        <f>IF(Projeto4[[#This Row],[Iniciada]]&lt;&gt;"",1,0)</f>
        <v>0</v>
      </c>
      <c r="Q51" s="30">
        <f ca="1">IF(Projeto4[[#This Row],[Já iniciada]]=1,0,IF(AND(Projeto4[[#This Row],[Data Início Prevista]]&lt;&gt;0,Projeto4[[#This Row],[éhoje]]&gt;Projeto4[[#This Row],[Data Início Prevista]]),1,0))</f>
        <v>0</v>
      </c>
      <c r="R51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51" s="29">
        <f>IF(Projeto4[[#This Row],[Data Repactuada]]&lt;&gt;"",1,0)</f>
        <v>0</v>
      </c>
      <c r="T51" s="30">
        <f>IF(Projeto4[[#This Row],[Concluída]]&lt;&gt;"",1,0)</f>
        <v>0</v>
      </c>
    </row>
    <row r="52" spans="2:20" s="22" customFormat="1" ht="15.75" hidden="1" outlineLevel="1" x14ac:dyDescent="0.25">
      <c r="B52" s="44">
        <f>'4'!$B$36</f>
        <v>0</v>
      </c>
      <c r="C52" s="45">
        <f>'4'!$Z$36</f>
        <v>0</v>
      </c>
      <c r="D52" s="45">
        <f>'4'!$AD$36</f>
        <v>0</v>
      </c>
      <c r="E52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52" s="25"/>
      <c r="G52" s="24"/>
      <c r="H52" s="24"/>
      <c r="I52" s="24"/>
      <c r="J52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52" s="27"/>
      <c r="L52" s="27"/>
      <c r="M52" s="27"/>
      <c r="N52" s="28"/>
      <c r="O52" s="34">
        <f t="shared" ca="1" si="3"/>
        <v>43710</v>
      </c>
      <c r="P52" s="30">
        <f>IF(Projeto4[[#This Row],[Iniciada]]&lt;&gt;"",1,0)</f>
        <v>0</v>
      </c>
      <c r="Q52" s="30">
        <f ca="1">IF(Projeto4[[#This Row],[Já iniciada]]=1,0,IF(AND(Projeto4[[#This Row],[Data Início Prevista]]&lt;&gt;0,Projeto4[[#This Row],[éhoje]]&gt;Projeto4[[#This Row],[Data Início Prevista]]),1,0))</f>
        <v>0</v>
      </c>
      <c r="R52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52" s="29">
        <f>IF(Projeto4[[#This Row],[Data Repactuada]]&lt;&gt;"",1,0)</f>
        <v>0</v>
      </c>
      <c r="T52" s="30">
        <f>IF(Projeto4[[#This Row],[Concluída]]&lt;&gt;"",1,0)</f>
        <v>0</v>
      </c>
    </row>
    <row r="53" spans="2:20" s="22" customFormat="1" ht="15.75" hidden="1" outlineLevel="1" x14ac:dyDescent="0.25">
      <c r="B53" s="44">
        <f>'4'!$B$37</f>
        <v>0</v>
      </c>
      <c r="C53" s="45">
        <f>'4'!$Z$37</f>
        <v>0</v>
      </c>
      <c r="D53" s="45">
        <f>'4'!$AD$37</f>
        <v>0</v>
      </c>
      <c r="E53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53" s="25"/>
      <c r="G53" s="24"/>
      <c r="H53" s="24"/>
      <c r="I53" s="24"/>
      <c r="J53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53" s="27"/>
      <c r="L53" s="27"/>
      <c r="M53" s="27"/>
      <c r="N53" s="28"/>
      <c r="O53" s="34">
        <f t="shared" ca="1" si="3"/>
        <v>43710</v>
      </c>
      <c r="P53" s="30">
        <f>IF(Projeto4[[#This Row],[Iniciada]]&lt;&gt;"",1,0)</f>
        <v>0</v>
      </c>
      <c r="Q53" s="30">
        <f ca="1">IF(Projeto4[[#This Row],[Já iniciada]]=1,0,IF(AND(Projeto4[[#This Row],[Data Início Prevista]]&lt;&gt;0,Projeto4[[#This Row],[éhoje]]&gt;Projeto4[[#This Row],[Data Início Prevista]]),1,0))</f>
        <v>0</v>
      </c>
      <c r="R53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53" s="29">
        <f>IF(Projeto4[[#This Row],[Data Repactuada]]&lt;&gt;"",1,0)</f>
        <v>0</v>
      </c>
      <c r="T53" s="30">
        <f>IF(Projeto4[[#This Row],[Concluída]]&lt;&gt;"",1,0)</f>
        <v>0</v>
      </c>
    </row>
    <row r="54" spans="2:20" s="22" customFormat="1" ht="15.75" hidden="1" outlineLevel="1" x14ac:dyDescent="0.25">
      <c r="B54" s="44">
        <f>'4'!$B$38</f>
        <v>0</v>
      </c>
      <c r="C54" s="45">
        <f>'4'!$Z$38</f>
        <v>0</v>
      </c>
      <c r="D54" s="45">
        <f>'4'!$AD$38</f>
        <v>0</v>
      </c>
      <c r="E54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54" s="25"/>
      <c r="G54" s="24"/>
      <c r="H54" s="24"/>
      <c r="I54" s="24"/>
      <c r="J54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54" s="27"/>
      <c r="L54" s="27"/>
      <c r="M54" s="27"/>
      <c r="N54" s="28"/>
      <c r="O54" s="34">
        <f t="shared" ca="1" si="3"/>
        <v>43710</v>
      </c>
      <c r="P54" s="30">
        <f>IF(Projeto4[[#This Row],[Iniciada]]&lt;&gt;"",1,0)</f>
        <v>0</v>
      </c>
      <c r="Q54" s="30">
        <f ca="1">IF(Projeto4[[#This Row],[Já iniciada]]=1,0,IF(AND(Projeto4[[#This Row],[Data Início Prevista]]&lt;&gt;0,Projeto4[[#This Row],[éhoje]]&gt;Projeto4[[#This Row],[Data Início Prevista]]),1,0))</f>
        <v>0</v>
      </c>
      <c r="R54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54" s="29">
        <f>IF(Projeto4[[#This Row],[Data Repactuada]]&lt;&gt;"",1,0)</f>
        <v>0</v>
      </c>
      <c r="T54" s="30">
        <f>IF(Projeto4[[#This Row],[Concluída]]&lt;&gt;"",1,0)</f>
        <v>0</v>
      </c>
    </row>
    <row r="55" spans="2:20" s="22" customFormat="1" ht="15.75" hidden="1" outlineLevel="1" x14ac:dyDescent="0.25">
      <c r="B55" s="44">
        <f>'4'!$B$39</f>
        <v>0</v>
      </c>
      <c r="C55" s="45">
        <f>'4'!$Z$39</f>
        <v>0</v>
      </c>
      <c r="D55" s="45">
        <f>'4'!$AD$39</f>
        <v>0</v>
      </c>
      <c r="E55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55" s="25"/>
      <c r="G55" s="24"/>
      <c r="H55" s="24"/>
      <c r="I55" s="24"/>
      <c r="J55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55" s="27"/>
      <c r="L55" s="27"/>
      <c r="M55" s="27"/>
      <c r="N55" s="28"/>
      <c r="O55" s="34">
        <f t="shared" ca="1" si="3"/>
        <v>43710</v>
      </c>
      <c r="P55" s="30">
        <f>IF(Projeto4[[#This Row],[Iniciada]]&lt;&gt;"",1,0)</f>
        <v>0</v>
      </c>
      <c r="Q55" s="30">
        <f ca="1">IF(Projeto4[[#This Row],[Já iniciada]]=1,0,IF(AND(Projeto4[[#This Row],[Data Início Prevista]]&lt;&gt;0,Projeto4[[#This Row],[éhoje]]&gt;Projeto4[[#This Row],[Data Início Prevista]]),1,0))</f>
        <v>0</v>
      </c>
      <c r="R55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55" s="29">
        <f>IF(Projeto4[[#This Row],[Data Repactuada]]&lt;&gt;"",1,0)</f>
        <v>0</v>
      </c>
      <c r="T55" s="30">
        <f>IF(Projeto4[[#This Row],[Concluída]]&lt;&gt;"",1,0)</f>
        <v>0</v>
      </c>
    </row>
    <row r="56" spans="2:20" s="22" customFormat="1" ht="15.75" hidden="1" outlineLevel="1" x14ac:dyDescent="0.25">
      <c r="B56" s="44">
        <f>'4'!$B$40</f>
        <v>0</v>
      </c>
      <c r="C56" s="45">
        <f>'4'!$Z$40</f>
        <v>0</v>
      </c>
      <c r="D56" s="45">
        <f>'4'!$AD$40</f>
        <v>0</v>
      </c>
      <c r="E56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56" s="25"/>
      <c r="G56" s="24"/>
      <c r="H56" s="24"/>
      <c r="I56" s="24"/>
      <c r="J56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56" s="27"/>
      <c r="L56" s="27"/>
      <c r="M56" s="27"/>
      <c r="N56" s="28"/>
      <c r="O56" s="34">
        <f t="shared" ca="1" si="3"/>
        <v>43710</v>
      </c>
      <c r="P56" s="30">
        <f>IF(Projeto4[[#This Row],[Iniciada]]&lt;&gt;"",1,0)</f>
        <v>0</v>
      </c>
      <c r="Q56" s="30">
        <f ca="1">IF(Projeto4[[#This Row],[Já iniciada]]=1,0,IF(AND(Projeto4[[#This Row],[Data Início Prevista]]&lt;&gt;0,Projeto4[[#This Row],[éhoje]]&gt;Projeto4[[#This Row],[Data Início Prevista]]),1,0))</f>
        <v>0</v>
      </c>
      <c r="R56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56" s="29">
        <f>IF(Projeto4[[#This Row],[Data Repactuada]]&lt;&gt;"",1,0)</f>
        <v>0</v>
      </c>
      <c r="T56" s="30">
        <f>IF(Projeto4[[#This Row],[Concluída]]&lt;&gt;"",1,0)</f>
        <v>0</v>
      </c>
    </row>
    <row r="57" spans="2:20" s="22" customFormat="1" ht="15.75" hidden="1" outlineLevel="1" x14ac:dyDescent="0.25">
      <c r="B57" s="44">
        <f>'4'!$B$41</f>
        <v>0</v>
      </c>
      <c r="C57" s="45">
        <f>'4'!$Z$41</f>
        <v>0</v>
      </c>
      <c r="D57" s="45">
        <f>'4'!$AD$41</f>
        <v>0</v>
      </c>
      <c r="E57" s="26" t="str">
        <f ca="1">IF(Projeto4[[#This Row],[Data Início Prevista]]&lt;&gt;"",IF(Projeto4[[#This Row],[Concluída]]&lt;&gt;"","Concluída",IF(Projeto4[[#This Row],[atraso inicio]]=1,"Atrasada",IF(Projeto4[[#This Row],[atraso FIM]]=1,"Atrasada",IF(Projeto4[[#This Row],[Cancelada]]&lt;&gt;"","Cancelada",IF(Projeto4[[#This Row],[Iniciada]]&lt;&gt;"","Iniciada",""))))))</f>
        <v/>
      </c>
      <c r="F57" s="25"/>
      <c r="G57" s="24"/>
      <c r="H57" s="24"/>
      <c r="I57" s="24"/>
      <c r="J57" s="37" t="str">
        <f ca="1">IF(Projeto4[[#This Row],[Status]]&lt;&gt;"Concluída","",IF(Projeto4[[#This Row],[Data Fim Real da Fase]]="","",IF(AND(Projeto4[[#This Row],[Status]]="Concluída",Projeto4[[#This Row],[Data Fim Real da Fase]]&lt;&gt;"",Projeto4[[#This Row],[Data Repactuada]]&lt;&gt;""),Projeto4[[#This Row],[Data Fim Real da Fase]]-Projeto4[[#This Row],[Data Repactuada]],Projeto4[[#This Row],[Data Fim Real da Fase]]-Projeto4[[#This Row],[Data Fim Prevista]])))</f>
        <v/>
      </c>
      <c r="K57" s="27"/>
      <c r="L57" s="27"/>
      <c r="M57" s="27"/>
      <c r="N57" s="28"/>
      <c r="O57" s="34">
        <f t="shared" ca="1" si="3"/>
        <v>43710</v>
      </c>
      <c r="P57" s="30">
        <f>IF(Projeto4[[#This Row],[Iniciada]]&lt;&gt;"",1,0)</f>
        <v>0</v>
      </c>
      <c r="Q57" s="30">
        <f ca="1">IF(Projeto4[[#This Row],[Já iniciada]]=1,0,IF(AND(Projeto4[[#This Row],[Data Início Prevista]]&lt;&gt;0,Projeto4[[#This Row],[éhoje]]&gt;Projeto4[[#This Row],[Data Início Prevista]]),1,0))</f>
        <v>0</v>
      </c>
      <c r="R57" s="30">
        <f>IF(Projeto4[[#This Row],[Concluido]]=1,0,IF(Projeto4[[#This Row],[Cancelada]]&lt;&gt;"",0,IF(Projeto4[[#This Row],[Data Fim Prevista]]=0,0,IF(Projeto4[[#This Row],[Repact]]=1,IF(Projeto4[[#This Row],[éhoje]]&lt;Projeto4[[#This Row],[Data Repactuada]],0,1),IF(Projeto4[[#This Row],[éhoje]]&gt;Projeto4[[#This Row],[Data Fim Prevista]],1,0)))))</f>
        <v>0</v>
      </c>
      <c r="S57" s="29">
        <f>IF(Projeto4[[#This Row],[Data Repactuada]]&lt;&gt;"",1,0)</f>
        <v>0</v>
      </c>
      <c r="T57" s="30">
        <f>IF(Projeto4[[#This Row],[Concluída]]&lt;&gt;"",1,0)</f>
        <v>0</v>
      </c>
    </row>
    <row r="58" spans="2:20" collapsed="1" x14ac:dyDescent="0.25"/>
    <row r="59" spans="2:20" x14ac:dyDescent="0.25"/>
    <row r="60" spans="2:20" s="43" customFormat="1" ht="21" customHeight="1" x14ac:dyDescent="0.25">
      <c r="B60" s="38" t="s">
        <v>144</v>
      </c>
      <c r="C60" s="129" t="str">
        <f>'5'!$H$6</f>
        <v>&lt;Nome curto / apelido / código do projeto &gt;</v>
      </c>
      <c r="D60" s="129"/>
      <c r="E60" s="129"/>
      <c r="F60" s="129"/>
      <c r="G60" s="129"/>
      <c r="H60" s="68" t="s">
        <v>138</v>
      </c>
      <c r="I60" s="39">
        <f>'5'!$H$11</f>
        <v>0</v>
      </c>
      <c r="J60" s="40" t="s">
        <v>140</v>
      </c>
      <c r="K60" s="39">
        <f>'5'!$AB$11</f>
        <v>0</v>
      </c>
      <c r="L60" s="41"/>
      <c r="M60" s="42"/>
      <c r="O60" s="47" t="s">
        <v>150</v>
      </c>
      <c r="P60" s="46"/>
      <c r="Q60" s="46"/>
      <c r="R60" s="46"/>
      <c r="S60" s="46"/>
      <c r="T60" s="46"/>
    </row>
    <row r="61" spans="2:20" s="23" customFormat="1" ht="31.5" hidden="1" customHeight="1" outlineLevel="1" x14ac:dyDescent="0.2">
      <c r="B61" s="31" t="s">
        <v>37</v>
      </c>
      <c r="C61" s="31" t="s">
        <v>139</v>
      </c>
      <c r="D61" s="31" t="s">
        <v>137</v>
      </c>
      <c r="E61" s="31" t="s">
        <v>116</v>
      </c>
      <c r="F61" s="31" t="s">
        <v>117</v>
      </c>
      <c r="G61" s="31" t="s">
        <v>118</v>
      </c>
      <c r="H61" s="31" t="s">
        <v>119</v>
      </c>
      <c r="I61" s="31" t="s">
        <v>120</v>
      </c>
      <c r="J61" s="31" t="s">
        <v>121</v>
      </c>
      <c r="K61" s="32" t="s">
        <v>122</v>
      </c>
      <c r="L61" s="32" t="s">
        <v>123</v>
      </c>
      <c r="M61" s="32" t="s">
        <v>124</v>
      </c>
      <c r="N61" s="28" t="s">
        <v>125</v>
      </c>
      <c r="O61" s="33" t="s">
        <v>126</v>
      </c>
      <c r="P61" s="32" t="s">
        <v>127</v>
      </c>
      <c r="Q61" s="32" t="s">
        <v>128</v>
      </c>
      <c r="R61" s="32" t="s">
        <v>129</v>
      </c>
      <c r="S61" s="32" t="s">
        <v>130</v>
      </c>
      <c r="T61" s="32" t="s">
        <v>131</v>
      </c>
    </row>
    <row r="62" spans="2:20" s="22" customFormat="1" ht="15.75" hidden="1" outlineLevel="1" x14ac:dyDescent="0.25">
      <c r="B62" s="44">
        <f>'5'!$B$32</f>
        <v>0</v>
      </c>
      <c r="C62" s="45">
        <f>'5'!$Z$32</f>
        <v>0</v>
      </c>
      <c r="D62" s="45">
        <f>'5'!$AD$32</f>
        <v>0</v>
      </c>
      <c r="E62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62" s="25" t="s">
        <v>248</v>
      </c>
      <c r="G62" s="25"/>
      <c r="H62" s="24"/>
      <c r="I62" s="25">
        <v>43647</v>
      </c>
      <c r="J62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62" s="27"/>
      <c r="L62" s="27"/>
      <c r="M62" s="27"/>
      <c r="N62" s="28"/>
      <c r="O62" s="34">
        <f t="shared" ref="O62:O71" ca="1" si="4">TODAY()</f>
        <v>43710</v>
      </c>
      <c r="P62" s="30">
        <f>IF(Projeto5[[#This Row],[Iniciada]]&lt;&gt;"",1,0)</f>
        <v>0</v>
      </c>
      <c r="Q62" s="30">
        <f ca="1">IF(Projeto5[[#This Row],[Já iniciada]]=1,0,IF(AND(Projeto5[[#This Row],[Data Início Prevista]]&lt;&gt;0,Projeto5[[#This Row],[éhoje]]&gt;Projeto5[[#This Row],[Data Início Prevista]]),1,0))</f>
        <v>0</v>
      </c>
      <c r="R62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62" s="29">
        <f>IF(Projeto5[[#This Row],[Data Repactuada]]&lt;&gt;"",1,0)</f>
        <v>0</v>
      </c>
      <c r="T62" s="30">
        <f>IF(Projeto5[[#This Row],[Concluída]]&lt;&gt;"",1,0)</f>
        <v>0</v>
      </c>
    </row>
    <row r="63" spans="2:20" s="22" customFormat="1" ht="15.75" hidden="1" outlineLevel="1" x14ac:dyDescent="0.25">
      <c r="B63" s="44">
        <f>'5'!$B$33</f>
        <v>0</v>
      </c>
      <c r="C63" s="45">
        <f>'5'!$Z$33</f>
        <v>0</v>
      </c>
      <c r="D63" s="45">
        <f>'5'!$AD$33</f>
        <v>0</v>
      </c>
      <c r="E63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63" s="25"/>
      <c r="G63" s="24"/>
      <c r="H63" s="24"/>
      <c r="I63" s="24"/>
      <c r="J63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63" s="27"/>
      <c r="L63" s="27"/>
      <c r="M63" s="27"/>
      <c r="N63" s="28"/>
      <c r="O63" s="34">
        <f t="shared" ca="1" si="4"/>
        <v>43710</v>
      </c>
      <c r="P63" s="30">
        <f>IF(Projeto5[[#This Row],[Iniciada]]&lt;&gt;"",1,0)</f>
        <v>0</v>
      </c>
      <c r="Q63" s="30">
        <f ca="1">IF(Projeto5[[#This Row],[Já iniciada]]=1,0,IF(AND(Projeto5[[#This Row],[Data Início Prevista]]&lt;&gt;0,Projeto5[[#This Row],[éhoje]]&gt;Projeto5[[#This Row],[Data Início Prevista]]),1,0))</f>
        <v>0</v>
      </c>
      <c r="R63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63" s="29">
        <f>IF(Projeto5[[#This Row],[Data Repactuada]]&lt;&gt;"",1,0)</f>
        <v>0</v>
      </c>
      <c r="T63" s="30">
        <f>IF(Projeto5[[#This Row],[Concluída]]&lt;&gt;"",1,0)</f>
        <v>0</v>
      </c>
    </row>
    <row r="64" spans="2:20" s="22" customFormat="1" ht="15.75" hidden="1" outlineLevel="1" x14ac:dyDescent="0.25">
      <c r="B64" s="44">
        <f>'5'!$B$34</f>
        <v>0</v>
      </c>
      <c r="C64" s="45">
        <f>'5'!$Z$34</f>
        <v>0</v>
      </c>
      <c r="D64" s="45">
        <f>'5'!$AD$34</f>
        <v>0</v>
      </c>
      <c r="E64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64" s="25"/>
      <c r="G64" s="24"/>
      <c r="H64" s="24"/>
      <c r="I64" s="24"/>
      <c r="J64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64" s="27"/>
      <c r="L64" s="27"/>
      <c r="M64" s="27"/>
      <c r="N64" s="28"/>
      <c r="O64" s="34">
        <f t="shared" ca="1" si="4"/>
        <v>43710</v>
      </c>
      <c r="P64" s="30">
        <f>IF(Projeto5[[#This Row],[Iniciada]]&lt;&gt;"",1,0)</f>
        <v>0</v>
      </c>
      <c r="Q64" s="30">
        <f ca="1">IF(Projeto5[[#This Row],[Já iniciada]]=1,0,IF(AND(Projeto5[[#This Row],[Data Início Prevista]]&lt;&gt;0,Projeto5[[#This Row],[éhoje]]&gt;Projeto5[[#This Row],[Data Início Prevista]]),1,0))</f>
        <v>0</v>
      </c>
      <c r="R64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64" s="29">
        <f>IF(Projeto5[[#This Row],[Data Repactuada]]&lt;&gt;"",1,0)</f>
        <v>0</v>
      </c>
      <c r="T64" s="30">
        <f>IF(Projeto5[[#This Row],[Concluída]]&lt;&gt;"",1,0)</f>
        <v>0</v>
      </c>
    </row>
    <row r="65" spans="2:20" s="22" customFormat="1" ht="15.75" hidden="1" outlineLevel="1" x14ac:dyDescent="0.25">
      <c r="B65" s="44">
        <f>'5'!$B$35</f>
        <v>0</v>
      </c>
      <c r="C65" s="45">
        <f>'5'!$Z$35</f>
        <v>0</v>
      </c>
      <c r="D65" s="45">
        <f>'5'!$AD$35</f>
        <v>0</v>
      </c>
      <c r="E65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65" s="25"/>
      <c r="G65" s="24"/>
      <c r="H65" s="24"/>
      <c r="I65" s="24"/>
      <c r="J65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65" s="27"/>
      <c r="L65" s="27"/>
      <c r="M65" s="27"/>
      <c r="N65" s="28"/>
      <c r="O65" s="34">
        <f t="shared" ca="1" si="4"/>
        <v>43710</v>
      </c>
      <c r="P65" s="30">
        <f>IF(Projeto5[[#This Row],[Iniciada]]&lt;&gt;"",1,0)</f>
        <v>0</v>
      </c>
      <c r="Q65" s="30">
        <f ca="1">IF(Projeto5[[#This Row],[Já iniciada]]=1,0,IF(AND(Projeto5[[#This Row],[Data Início Prevista]]&lt;&gt;0,Projeto5[[#This Row],[éhoje]]&gt;Projeto5[[#This Row],[Data Início Prevista]]),1,0))</f>
        <v>0</v>
      </c>
      <c r="R65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65" s="29">
        <f>IF(Projeto5[[#This Row],[Data Repactuada]]&lt;&gt;"",1,0)</f>
        <v>0</v>
      </c>
      <c r="T65" s="30">
        <f>IF(Projeto5[[#This Row],[Concluída]]&lt;&gt;"",1,0)</f>
        <v>0</v>
      </c>
    </row>
    <row r="66" spans="2:20" s="22" customFormat="1" ht="15.75" hidden="1" outlineLevel="1" x14ac:dyDescent="0.25">
      <c r="B66" s="44">
        <f>'5'!$B$36</f>
        <v>0</v>
      </c>
      <c r="C66" s="45">
        <f>'5'!$Z$36</f>
        <v>0</v>
      </c>
      <c r="D66" s="45">
        <f>'5'!$AD$36</f>
        <v>0</v>
      </c>
      <c r="E66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66" s="25"/>
      <c r="G66" s="24"/>
      <c r="H66" s="24"/>
      <c r="I66" s="24"/>
      <c r="J66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66" s="27"/>
      <c r="L66" s="27"/>
      <c r="M66" s="27"/>
      <c r="N66" s="28"/>
      <c r="O66" s="34">
        <f t="shared" ca="1" si="4"/>
        <v>43710</v>
      </c>
      <c r="P66" s="30">
        <f>IF(Projeto5[[#This Row],[Iniciada]]&lt;&gt;"",1,0)</f>
        <v>0</v>
      </c>
      <c r="Q66" s="30">
        <f ca="1">IF(Projeto5[[#This Row],[Já iniciada]]=1,0,IF(AND(Projeto5[[#This Row],[Data Início Prevista]]&lt;&gt;0,Projeto5[[#This Row],[éhoje]]&gt;Projeto5[[#This Row],[Data Início Prevista]]),1,0))</f>
        <v>0</v>
      </c>
      <c r="R66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66" s="29">
        <f>IF(Projeto5[[#This Row],[Data Repactuada]]&lt;&gt;"",1,0)</f>
        <v>0</v>
      </c>
      <c r="T66" s="30">
        <f>IF(Projeto5[[#This Row],[Concluída]]&lt;&gt;"",1,0)</f>
        <v>0</v>
      </c>
    </row>
    <row r="67" spans="2:20" s="22" customFormat="1" ht="15.75" hidden="1" outlineLevel="1" x14ac:dyDescent="0.25">
      <c r="B67" s="44">
        <f>'5'!$B$37</f>
        <v>0</v>
      </c>
      <c r="C67" s="45">
        <f>'5'!$Z$37</f>
        <v>0</v>
      </c>
      <c r="D67" s="45">
        <f>'5'!$AD$37</f>
        <v>0</v>
      </c>
      <c r="E67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67" s="25"/>
      <c r="G67" s="24"/>
      <c r="H67" s="24"/>
      <c r="I67" s="24"/>
      <c r="J67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67" s="27"/>
      <c r="L67" s="27"/>
      <c r="M67" s="27"/>
      <c r="N67" s="28"/>
      <c r="O67" s="34">
        <f t="shared" ca="1" si="4"/>
        <v>43710</v>
      </c>
      <c r="P67" s="30">
        <f>IF(Projeto5[[#This Row],[Iniciada]]&lt;&gt;"",1,0)</f>
        <v>0</v>
      </c>
      <c r="Q67" s="30">
        <f ca="1">IF(Projeto5[[#This Row],[Já iniciada]]=1,0,IF(AND(Projeto5[[#This Row],[Data Início Prevista]]&lt;&gt;0,Projeto5[[#This Row],[éhoje]]&gt;Projeto5[[#This Row],[Data Início Prevista]]),1,0))</f>
        <v>0</v>
      </c>
      <c r="R67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67" s="29">
        <f>IF(Projeto5[[#This Row],[Data Repactuada]]&lt;&gt;"",1,0)</f>
        <v>0</v>
      </c>
      <c r="T67" s="30">
        <f>IF(Projeto5[[#This Row],[Concluída]]&lt;&gt;"",1,0)</f>
        <v>0</v>
      </c>
    </row>
    <row r="68" spans="2:20" s="22" customFormat="1" ht="15.75" hidden="1" outlineLevel="1" x14ac:dyDescent="0.25">
      <c r="B68" s="44">
        <f>'5'!$B$38</f>
        <v>0</v>
      </c>
      <c r="C68" s="45">
        <f>'5'!$Z$38</f>
        <v>0</v>
      </c>
      <c r="D68" s="45">
        <f>'5'!$AD$38</f>
        <v>0</v>
      </c>
      <c r="E68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68" s="25"/>
      <c r="G68" s="24"/>
      <c r="H68" s="24"/>
      <c r="I68" s="24"/>
      <c r="J68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68" s="27"/>
      <c r="L68" s="27"/>
      <c r="M68" s="27"/>
      <c r="N68" s="28"/>
      <c r="O68" s="34">
        <f t="shared" ca="1" si="4"/>
        <v>43710</v>
      </c>
      <c r="P68" s="30">
        <f>IF(Projeto5[[#This Row],[Iniciada]]&lt;&gt;"",1,0)</f>
        <v>0</v>
      </c>
      <c r="Q68" s="30">
        <f ca="1">IF(Projeto5[[#This Row],[Já iniciada]]=1,0,IF(AND(Projeto5[[#This Row],[Data Início Prevista]]&lt;&gt;0,Projeto5[[#This Row],[éhoje]]&gt;Projeto5[[#This Row],[Data Início Prevista]]),1,0))</f>
        <v>0</v>
      </c>
      <c r="R68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68" s="29">
        <f>IF(Projeto5[[#This Row],[Data Repactuada]]&lt;&gt;"",1,0)</f>
        <v>0</v>
      </c>
      <c r="T68" s="30">
        <f>IF(Projeto5[[#This Row],[Concluída]]&lt;&gt;"",1,0)</f>
        <v>0</v>
      </c>
    </row>
    <row r="69" spans="2:20" s="22" customFormat="1" ht="15.75" hidden="1" outlineLevel="1" x14ac:dyDescent="0.25">
      <c r="B69" s="44">
        <f>'5'!$B$39</f>
        <v>0</v>
      </c>
      <c r="C69" s="45">
        <f>'5'!$Z$39</f>
        <v>0</v>
      </c>
      <c r="D69" s="45">
        <f>'5'!$AD$39</f>
        <v>0</v>
      </c>
      <c r="E69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69" s="25"/>
      <c r="G69" s="24"/>
      <c r="H69" s="24"/>
      <c r="I69" s="24"/>
      <c r="J69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69" s="27"/>
      <c r="L69" s="27"/>
      <c r="M69" s="27"/>
      <c r="N69" s="28"/>
      <c r="O69" s="34">
        <f t="shared" ca="1" si="4"/>
        <v>43710</v>
      </c>
      <c r="P69" s="30">
        <f>IF(Projeto5[[#This Row],[Iniciada]]&lt;&gt;"",1,0)</f>
        <v>0</v>
      </c>
      <c r="Q69" s="30">
        <f ca="1">IF(Projeto5[[#This Row],[Já iniciada]]=1,0,IF(AND(Projeto5[[#This Row],[Data Início Prevista]]&lt;&gt;0,Projeto5[[#This Row],[éhoje]]&gt;Projeto5[[#This Row],[Data Início Prevista]]),1,0))</f>
        <v>0</v>
      </c>
      <c r="R69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69" s="29">
        <f>IF(Projeto5[[#This Row],[Data Repactuada]]&lt;&gt;"",1,0)</f>
        <v>0</v>
      </c>
      <c r="T69" s="30">
        <f>IF(Projeto5[[#This Row],[Concluída]]&lt;&gt;"",1,0)</f>
        <v>0</v>
      </c>
    </row>
    <row r="70" spans="2:20" s="22" customFormat="1" ht="15.75" hidden="1" outlineLevel="1" x14ac:dyDescent="0.25">
      <c r="B70" s="44">
        <f>'5'!$B$40</f>
        <v>0</v>
      </c>
      <c r="C70" s="45">
        <f>'5'!$Z$40</f>
        <v>0</v>
      </c>
      <c r="D70" s="45">
        <f>'5'!$AD$40</f>
        <v>0</v>
      </c>
      <c r="E70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70" s="25"/>
      <c r="G70" s="24"/>
      <c r="H70" s="24"/>
      <c r="I70" s="24"/>
      <c r="J70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70" s="27"/>
      <c r="L70" s="27"/>
      <c r="M70" s="27"/>
      <c r="N70" s="28"/>
      <c r="O70" s="34">
        <f t="shared" ca="1" si="4"/>
        <v>43710</v>
      </c>
      <c r="P70" s="30">
        <f>IF(Projeto5[[#This Row],[Iniciada]]&lt;&gt;"",1,0)</f>
        <v>0</v>
      </c>
      <c r="Q70" s="30">
        <f ca="1">IF(Projeto5[[#This Row],[Já iniciada]]=1,0,IF(AND(Projeto5[[#This Row],[Data Início Prevista]]&lt;&gt;0,Projeto5[[#This Row],[éhoje]]&gt;Projeto5[[#This Row],[Data Início Prevista]]),1,0))</f>
        <v>0</v>
      </c>
      <c r="R70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70" s="29">
        <f>IF(Projeto5[[#This Row],[Data Repactuada]]&lt;&gt;"",1,0)</f>
        <v>0</v>
      </c>
      <c r="T70" s="30">
        <f>IF(Projeto5[[#This Row],[Concluída]]&lt;&gt;"",1,0)</f>
        <v>0</v>
      </c>
    </row>
    <row r="71" spans="2:20" s="22" customFormat="1" ht="15.75" hidden="1" outlineLevel="1" x14ac:dyDescent="0.25">
      <c r="B71" s="44">
        <f>'5'!$B$41</f>
        <v>0</v>
      </c>
      <c r="C71" s="45">
        <f>'5'!$Z$41</f>
        <v>0</v>
      </c>
      <c r="D71" s="45">
        <f>'5'!$AD$41</f>
        <v>0</v>
      </c>
      <c r="E71" s="26" t="str">
        <f ca="1">IF(Projeto5[[#This Row],[Data Início Prevista]]&lt;&gt;"",IF(Projeto5[[#This Row],[Concluída]]&lt;&gt;"","Concluída",IF(Projeto5[[#This Row],[atraso inicio]]=1,"Atrasada",IF(Projeto5[[#This Row],[atraso FIM]]=1,"Atrasada",IF(Projeto5[[#This Row],[Cancelada]]&lt;&gt;"","Cancelada",IF(Projeto5[[#This Row],[Iniciada]]&lt;&gt;"","Iniciada",""))))))</f>
        <v/>
      </c>
      <c r="F71" s="25"/>
      <c r="G71" s="24"/>
      <c r="H71" s="24"/>
      <c r="I71" s="24"/>
      <c r="J71" s="37" t="str">
        <f ca="1">IF(Projeto5[[#This Row],[Status]]&lt;&gt;"Concluída","",IF(Projeto5[[#This Row],[Data Fim Real da Fase]]="","",IF(AND(Projeto5[[#This Row],[Status]]="Concluída",Projeto5[[#This Row],[Data Fim Real da Fase]]&lt;&gt;"",Projeto5[[#This Row],[Data Repactuada]]&lt;&gt;""),Projeto5[[#This Row],[Data Fim Real da Fase]]-Projeto5[[#This Row],[Data Repactuada]],Projeto5[[#This Row],[Data Fim Real da Fase]]-Projeto5[[#This Row],[Data Fim Prevista]])))</f>
        <v/>
      </c>
      <c r="K71" s="27"/>
      <c r="L71" s="27"/>
      <c r="M71" s="27"/>
      <c r="N71" s="28"/>
      <c r="O71" s="34">
        <f t="shared" ca="1" si="4"/>
        <v>43710</v>
      </c>
      <c r="P71" s="30">
        <f>IF(Projeto5[[#This Row],[Iniciada]]&lt;&gt;"",1,0)</f>
        <v>0</v>
      </c>
      <c r="Q71" s="30">
        <f ca="1">IF(Projeto5[[#This Row],[Já iniciada]]=1,0,IF(AND(Projeto5[[#This Row],[Data Início Prevista]]&lt;&gt;0,Projeto5[[#This Row],[éhoje]]&gt;Projeto5[[#This Row],[Data Início Prevista]]),1,0))</f>
        <v>0</v>
      </c>
      <c r="R71" s="30">
        <f>IF(Projeto5[[#This Row],[Concluido]]=1,0,IF(Projeto5[[#This Row],[Cancelada]]&lt;&gt;"",0,IF(Projeto5[[#This Row],[Data Fim Prevista]]=0,0,IF(Projeto5[[#This Row],[Repact]]=1,IF(Projeto5[[#This Row],[éhoje]]&lt;Projeto5[[#This Row],[Data Repactuada]],0,1),IF(Projeto5[[#This Row],[éhoje]]&gt;Projeto5[[#This Row],[Data Fim Prevista]],1,0)))))</f>
        <v>0</v>
      </c>
      <c r="S71" s="29">
        <f>IF(Projeto5[[#This Row],[Data Repactuada]]&lt;&gt;"",1,0)</f>
        <v>0</v>
      </c>
      <c r="T71" s="30">
        <f>IF(Projeto5[[#This Row],[Concluída]]&lt;&gt;"",1,0)</f>
        <v>0</v>
      </c>
    </row>
    <row r="72" spans="2:20" collapsed="1" x14ac:dyDescent="0.25"/>
    <row r="73" spans="2:20" x14ac:dyDescent="0.25"/>
    <row r="74" spans="2:20" s="43" customFormat="1" ht="21" customHeight="1" x14ac:dyDescent="0.25">
      <c r="B74" s="38" t="s">
        <v>145</v>
      </c>
      <c r="C74" s="129" t="str">
        <f>'6'!$H$6</f>
        <v>&lt;Nome curto / apelido / código do projeto &gt;</v>
      </c>
      <c r="D74" s="129"/>
      <c r="E74" s="129"/>
      <c r="F74" s="129"/>
      <c r="G74" s="129"/>
      <c r="H74" s="68" t="s">
        <v>138</v>
      </c>
      <c r="I74" s="39">
        <f>'6'!$H$11</f>
        <v>0</v>
      </c>
      <c r="J74" s="40" t="s">
        <v>140</v>
      </c>
      <c r="K74" s="39">
        <f>'6'!$AB$11</f>
        <v>0</v>
      </c>
      <c r="L74" s="41"/>
      <c r="M74" s="42"/>
      <c r="O74" s="47" t="s">
        <v>150</v>
      </c>
      <c r="P74" s="46"/>
      <c r="Q74" s="46"/>
      <c r="R74" s="46"/>
      <c r="S74" s="46"/>
      <c r="T74" s="46"/>
    </row>
    <row r="75" spans="2:20" s="23" customFormat="1" ht="31.5" hidden="1" customHeight="1" outlineLevel="1" x14ac:dyDescent="0.2">
      <c r="B75" s="31" t="s">
        <v>37</v>
      </c>
      <c r="C75" s="31" t="s">
        <v>139</v>
      </c>
      <c r="D75" s="31" t="s">
        <v>137</v>
      </c>
      <c r="E75" s="31" t="s">
        <v>116</v>
      </c>
      <c r="F75" s="31" t="s">
        <v>117</v>
      </c>
      <c r="G75" s="31" t="s">
        <v>118</v>
      </c>
      <c r="H75" s="31" t="s">
        <v>119</v>
      </c>
      <c r="I75" s="31" t="s">
        <v>120</v>
      </c>
      <c r="J75" s="31" t="s">
        <v>121</v>
      </c>
      <c r="K75" s="32" t="s">
        <v>122</v>
      </c>
      <c r="L75" s="32" t="s">
        <v>123</v>
      </c>
      <c r="M75" s="32" t="s">
        <v>124</v>
      </c>
      <c r="N75" s="28" t="s">
        <v>125</v>
      </c>
      <c r="O75" s="33" t="s">
        <v>126</v>
      </c>
      <c r="P75" s="32" t="s">
        <v>127</v>
      </c>
      <c r="Q75" s="32" t="s">
        <v>128</v>
      </c>
      <c r="R75" s="32" t="s">
        <v>129</v>
      </c>
      <c r="S75" s="32" t="s">
        <v>130</v>
      </c>
      <c r="T75" s="32" t="s">
        <v>131</v>
      </c>
    </row>
    <row r="76" spans="2:20" s="22" customFormat="1" ht="15.75" hidden="1" outlineLevel="1" x14ac:dyDescent="0.25">
      <c r="B76" s="44">
        <f>'6'!$B$32</f>
        <v>0</v>
      </c>
      <c r="C76" s="45">
        <f>'6'!$Z$32</f>
        <v>0</v>
      </c>
      <c r="D76" s="45">
        <f>'6'!$AD$32</f>
        <v>0</v>
      </c>
      <c r="E76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76" s="25" t="s">
        <v>248</v>
      </c>
      <c r="G76" s="25"/>
      <c r="H76" s="24"/>
      <c r="I76" s="25">
        <v>43647</v>
      </c>
      <c r="J76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76" s="27"/>
      <c r="L76" s="27"/>
      <c r="M76" s="27"/>
      <c r="N76" s="28"/>
      <c r="O76" s="34">
        <f t="shared" ref="O76:O85" ca="1" si="5">TODAY()</f>
        <v>43710</v>
      </c>
      <c r="P76" s="30">
        <f>IF(Projeto6[[#This Row],[Iniciada]]&lt;&gt;"",1,0)</f>
        <v>0</v>
      </c>
      <c r="Q76" s="30">
        <f ca="1">IF(Projeto6[[#This Row],[Já iniciada]]=1,0,IF(AND(Projeto6[[#This Row],[Data Início Prevista]]&lt;&gt;0,Projeto6[[#This Row],[éhoje]]&gt;Projeto6[[#This Row],[Data Início Prevista]]),1,0))</f>
        <v>0</v>
      </c>
      <c r="R76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76" s="29">
        <f>IF(Projeto6[[#This Row],[Data Repactuada]]&lt;&gt;"",1,0)</f>
        <v>0</v>
      </c>
      <c r="T76" s="30">
        <f>IF(Projeto6[[#This Row],[Concluída]]&lt;&gt;"",1,0)</f>
        <v>0</v>
      </c>
    </row>
    <row r="77" spans="2:20" s="22" customFormat="1" ht="15.75" hidden="1" outlineLevel="1" x14ac:dyDescent="0.25">
      <c r="B77" s="44">
        <f>'6'!$B$33</f>
        <v>0</v>
      </c>
      <c r="C77" s="45">
        <f>'6'!$Z$33</f>
        <v>0</v>
      </c>
      <c r="D77" s="45">
        <f>'6'!$AD$33</f>
        <v>0</v>
      </c>
      <c r="E77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77" s="25"/>
      <c r="G77" s="24"/>
      <c r="H77" s="24"/>
      <c r="I77" s="24"/>
      <c r="J77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77" s="27"/>
      <c r="L77" s="27"/>
      <c r="M77" s="27"/>
      <c r="N77" s="28"/>
      <c r="O77" s="34">
        <f t="shared" ca="1" si="5"/>
        <v>43710</v>
      </c>
      <c r="P77" s="30">
        <f>IF(Projeto6[[#This Row],[Iniciada]]&lt;&gt;"",1,0)</f>
        <v>0</v>
      </c>
      <c r="Q77" s="30">
        <f ca="1">IF(Projeto6[[#This Row],[Já iniciada]]=1,0,IF(AND(Projeto6[[#This Row],[Data Início Prevista]]&lt;&gt;0,Projeto6[[#This Row],[éhoje]]&gt;Projeto6[[#This Row],[Data Início Prevista]]),1,0))</f>
        <v>0</v>
      </c>
      <c r="R77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77" s="29">
        <f>IF(Projeto6[[#This Row],[Data Repactuada]]&lt;&gt;"",1,0)</f>
        <v>0</v>
      </c>
      <c r="T77" s="30">
        <f>IF(Projeto6[[#This Row],[Concluída]]&lt;&gt;"",1,0)</f>
        <v>0</v>
      </c>
    </row>
    <row r="78" spans="2:20" s="22" customFormat="1" ht="15.75" hidden="1" outlineLevel="1" x14ac:dyDescent="0.25">
      <c r="B78" s="44">
        <f>'6'!$B$34</f>
        <v>0</v>
      </c>
      <c r="C78" s="45">
        <f>'6'!$Z$34</f>
        <v>0</v>
      </c>
      <c r="D78" s="45">
        <f>'6'!$AD$34</f>
        <v>0</v>
      </c>
      <c r="E78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78" s="25"/>
      <c r="G78" s="24"/>
      <c r="H78" s="24"/>
      <c r="I78" s="24"/>
      <c r="J78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78" s="27"/>
      <c r="L78" s="27"/>
      <c r="M78" s="27"/>
      <c r="N78" s="28"/>
      <c r="O78" s="34">
        <f t="shared" ca="1" si="5"/>
        <v>43710</v>
      </c>
      <c r="P78" s="30">
        <f>IF(Projeto6[[#This Row],[Iniciada]]&lt;&gt;"",1,0)</f>
        <v>0</v>
      </c>
      <c r="Q78" s="30">
        <f ca="1">IF(Projeto6[[#This Row],[Já iniciada]]=1,0,IF(AND(Projeto6[[#This Row],[Data Início Prevista]]&lt;&gt;0,Projeto6[[#This Row],[éhoje]]&gt;Projeto6[[#This Row],[Data Início Prevista]]),1,0))</f>
        <v>0</v>
      </c>
      <c r="R78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78" s="29">
        <f>IF(Projeto6[[#This Row],[Data Repactuada]]&lt;&gt;"",1,0)</f>
        <v>0</v>
      </c>
      <c r="T78" s="30">
        <f>IF(Projeto6[[#This Row],[Concluída]]&lt;&gt;"",1,0)</f>
        <v>0</v>
      </c>
    </row>
    <row r="79" spans="2:20" s="22" customFormat="1" ht="15.75" hidden="1" outlineLevel="1" x14ac:dyDescent="0.25">
      <c r="B79" s="44">
        <f>'6'!$B$35</f>
        <v>0</v>
      </c>
      <c r="C79" s="45">
        <f>'6'!$Z$35</f>
        <v>0</v>
      </c>
      <c r="D79" s="45">
        <f>'6'!$AD$35</f>
        <v>0</v>
      </c>
      <c r="E79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79" s="25"/>
      <c r="G79" s="24"/>
      <c r="H79" s="24"/>
      <c r="I79" s="24"/>
      <c r="J79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79" s="27"/>
      <c r="L79" s="27"/>
      <c r="M79" s="27"/>
      <c r="N79" s="28"/>
      <c r="O79" s="34">
        <f t="shared" ca="1" si="5"/>
        <v>43710</v>
      </c>
      <c r="P79" s="30">
        <f>IF(Projeto6[[#This Row],[Iniciada]]&lt;&gt;"",1,0)</f>
        <v>0</v>
      </c>
      <c r="Q79" s="30">
        <f ca="1">IF(Projeto6[[#This Row],[Já iniciada]]=1,0,IF(AND(Projeto6[[#This Row],[Data Início Prevista]]&lt;&gt;0,Projeto6[[#This Row],[éhoje]]&gt;Projeto6[[#This Row],[Data Início Prevista]]),1,0))</f>
        <v>0</v>
      </c>
      <c r="R79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79" s="29">
        <f>IF(Projeto6[[#This Row],[Data Repactuada]]&lt;&gt;"",1,0)</f>
        <v>0</v>
      </c>
      <c r="T79" s="30">
        <f>IF(Projeto6[[#This Row],[Concluída]]&lt;&gt;"",1,0)</f>
        <v>0</v>
      </c>
    </row>
    <row r="80" spans="2:20" s="22" customFormat="1" ht="15.75" hidden="1" outlineLevel="1" x14ac:dyDescent="0.25">
      <c r="B80" s="44">
        <f>'6'!$B$36</f>
        <v>0</v>
      </c>
      <c r="C80" s="45">
        <f>'6'!$Z$36</f>
        <v>0</v>
      </c>
      <c r="D80" s="45">
        <f>'6'!$AD$36</f>
        <v>0</v>
      </c>
      <c r="E80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80" s="25"/>
      <c r="G80" s="24"/>
      <c r="H80" s="24"/>
      <c r="I80" s="24"/>
      <c r="J80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80" s="27"/>
      <c r="L80" s="27"/>
      <c r="M80" s="27"/>
      <c r="N80" s="28"/>
      <c r="O80" s="34">
        <f t="shared" ca="1" si="5"/>
        <v>43710</v>
      </c>
      <c r="P80" s="30">
        <f>IF(Projeto6[[#This Row],[Iniciada]]&lt;&gt;"",1,0)</f>
        <v>0</v>
      </c>
      <c r="Q80" s="30">
        <f ca="1">IF(Projeto6[[#This Row],[Já iniciada]]=1,0,IF(AND(Projeto6[[#This Row],[Data Início Prevista]]&lt;&gt;0,Projeto6[[#This Row],[éhoje]]&gt;Projeto6[[#This Row],[Data Início Prevista]]),1,0))</f>
        <v>0</v>
      </c>
      <c r="R80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80" s="29">
        <f>IF(Projeto6[[#This Row],[Data Repactuada]]&lt;&gt;"",1,0)</f>
        <v>0</v>
      </c>
      <c r="T80" s="30">
        <f>IF(Projeto6[[#This Row],[Concluída]]&lt;&gt;"",1,0)</f>
        <v>0</v>
      </c>
    </row>
    <row r="81" spans="2:20" s="22" customFormat="1" ht="15.75" hidden="1" outlineLevel="1" x14ac:dyDescent="0.25">
      <c r="B81" s="44">
        <f>'6'!$B$37</f>
        <v>0</v>
      </c>
      <c r="C81" s="45">
        <f>'6'!$Z$37</f>
        <v>0</v>
      </c>
      <c r="D81" s="45">
        <f>'6'!$AD$37</f>
        <v>0</v>
      </c>
      <c r="E81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81" s="25"/>
      <c r="G81" s="24"/>
      <c r="H81" s="24"/>
      <c r="I81" s="24"/>
      <c r="J81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81" s="27"/>
      <c r="L81" s="27"/>
      <c r="M81" s="27"/>
      <c r="N81" s="28"/>
      <c r="O81" s="34">
        <f t="shared" ca="1" si="5"/>
        <v>43710</v>
      </c>
      <c r="P81" s="30">
        <f>IF(Projeto6[[#This Row],[Iniciada]]&lt;&gt;"",1,0)</f>
        <v>0</v>
      </c>
      <c r="Q81" s="30">
        <f ca="1">IF(Projeto6[[#This Row],[Já iniciada]]=1,0,IF(AND(Projeto6[[#This Row],[Data Início Prevista]]&lt;&gt;0,Projeto6[[#This Row],[éhoje]]&gt;Projeto6[[#This Row],[Data Início Prevista]]),1,0))</f>
        <v>0</v>
      </c>
      <c r="R81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81" s="29">
        <f>IF(Projeto6[[#This Row],[Data Repactuada]]&lt;&gt;"",1,0)</f>
        <v>0</v>
      </c>
      <c r="T81" s="30">
        <f>IF(Projeto6[[#This Row],[Concluída]]&lt;&gt;"",1,0)</f>
        <v>0</v>
      </c>
    </row>
    <row r="82" spans="2:20" s="22" customFormat="1" ht="15.75" hidden="1" outlineLevel="1" x14ac:dyDescent="0.25">
      <c r="B82" s="44">
        <f>'6'!$B$38</f>
        <v>0</v>
      </c>
      <c r="C82" s="45">
        <f>'6'!$Z$38</f>
        <v>0</v>
      </c>
      <c r="D82" s="45">
        <f>'6'!$AD$38</f>
        <v>0</v>
      </c>
      <c r="E82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82" s="25"/>
      <c r="G82" s="24"/>
      <c r="H82" s="24"/>
      <c r="I82" s="24"/>
      <c r="J82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82" s="27"/>
      <c r="L82" s="27"/>
      <c r="M82" s="27"/>
      <c r="N82" s="28"/>
      <c r="O82" s="34">
        <f t="shared" ca="1" si="5"/>
        <v>43710</v>
      </c>
      <c r="P82" s="30">
        <f>IF(Projeto6[[#This Row],[Iniciada]]&lt;&gt;"",1,0)</f>
        <v>0</v>
      </c>
      <c r="Q82" s="30">
        <f ca="1">IF(Projeto6[[#This Row],[Já iniciada]]=1,0,IF(AND(Projeto6[[#This Row],[Data Início Prevista]]&lt;&gt;0,Projeto6[[#This Row],[éhoje]]&gt;Projeto6[[#This Row],[Data Início Prevista]]),1,0))</f>
        <v>0</v>
      </c>
      <c r="R82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82" s="29">
        <f>IF(Projeto6[[#This Row],[Data Repactuada]]&lt;&gt;"",1,0)</f>
        <v>0</v>
      </c>
      <c r="T82" s="30">
        <f>IF(Projeto6[[#This Row],[Concluída]]&lt;&gt;"",1,0)</f>
        <v>0</v>
      </c>
    </row>
    <row r="83" spans="2:20" s="22" customFormat="1" ht="15.75" hidden="1" outlineLevel="1" x14ac:dyDescent="0.25">
      <c r="B83" s="44">
        <f>'6'!$B$39</f>
        <v>0</v>
      </c>
      <c r="C83" s="45">
        <f>'6'!$Z$39</f>
        <v>0</v>
      </c>
      <c r="D83" s="45">
        <f>'6'!$AD$39</f>
        <v>0</v>
      </c>
      <c r="E83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83" s="25"/>
      <c r="G83" s="24"/>
      <c r="H83" s="24"/>
      <c r="I83" s="24"/>
      <c r="J83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83" s="27"/>
      <c r="L83" s="27"/>
      <c r="M83" s="27"/>
      <c r="N83" s="28"/>
      <c r="O83" s="34">
        <f t="shared" ca="1" si="5"/>
        <v>43710</v>
      </c>
      <c r="P83" s="30">
        <f>IF(Projeto6[[#This Row],[Iniciada]]&lt;&gt;"",1,0)</f>
        <v>0</v>
      </c>
      <c r="Q83" s="30">
        <f ca="1">IF(Projeto6[[#This Row],[Já iniciada]]=1,0,IF(AND(Projeto6[[#This Row],[Data Início Prevista]]&lt;&gt;0,Projeto6[[#This Row],[éhoje]]&gt;Projeto6[[#This Row],[Data Início Prevista]]),1,0))</f>
        <v>0</v>
      </c>
      <c r="R83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83" s="29">
        <f>IF(Projeto6[[#This Row],[Data Repactuada]]&lt;&gt;"",1,0)</f>
        <v>0</v>
      </c>
      <c r="T83" s="30">
        <f>IF(Projeto6[[#This Row],[Concluída]]&lt;&gt;"",1,0)</f>
        <v>0</v>
      </c>
    </row>
    <row r="84" spans="2:20" s="22" customFormat="1" ht="15.75" hidden="1" outlineLevel="1" x14ac:dyDescent="0.25">
      <c r="B84" s="44">
        <f>'6'!$B$40</f>
        <v>0</v>
      </c>
      <c r="C84" s="45">
        <f>'6'!$Z$40</f>
        <v>0</v>
      </c>
      <c r="D84" s="45">
        <f>'6'!$AD$40</f>
        <v>0</v>
      </c>
      <c r="E84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84" s="25"/>
      <c r="G84" s="24"/>
      <c r="H84" s="24"/>
      <c r="I84" s="24"/>
      <c r="J84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84" s="27"/>
      <c r="L84" s="27"/>
      <c r="M84" s="27"/>
      <c r="N84" s="28"/>
      <c r="O84" s="34">
        <f t="shared" ca="1" si="5"/>
        <v>43710</v>
      </c>
      <c r="P84" s="30">
        <f>IF(Projeto6[[#This Row],[Iniciada]]&lt;&gt;"",1,0)</f>
        <v>0</v>
      </c>
      <c r="Q84" s="30">
        <f ca="1">IF(Projeto6[[#This Row],[Já iniciada]]=1,0,IF(AND(Projeto6[[#This Row],[Data Início Prevista]]&lt;&gt;0,Projeto6[[#This Row],[éhoje]]&gt;Projeto6[[#This Row],[Data Início Prevista]]),1,0))</f>
        <v>0</v>
      </c>
      <c r="R84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84" s="29">
        <f>IF(Projeto6[[#This Row],[Data Repactuada]]&lt;&gt;"",1,0)</f>
        <v>0</v>
      </c>
      <c r="T84" s="30">
        <f>IF(Projeto6[[#This Row],[Concluída]]&lt;&gt;"",1,0)</f>
        <v>0</v>
      </c>
    </row>
    <row r="85" spans="2:20" s="22" customFormat="1" ht="15.75" hidden="1" outlineLevel="1" x14ac:dyDescent="0.25">
      <c r="B85" s="44">
        <f>'6'!$B$41</f>
        <v>0</v>
      </c>
      <c r="C85" s="45">
        <f>'6'!$Z$41</f>
        <v>0</v>
      </c>
      <c r="D85" s="45">
        <f>'6'!$AD$41</f>
        <v>0</v>
      </c>
      <c r="E85" s="26" t="str">
        <f ca="1">IF(Projeto6[[#This Row],[Data Início Prevista]]&lt;&gt;"",IF(Projeto6[[#This Row],[Concluída]]&lt;&gt;"","Concluída",IF(Projeto6[[#This Row],[atraso inicio]]=1,"Atrasada",IF(Projeto6[[#This Row],[atraso FIM]]=1,"Atrasada",IF(Projeto6[[#This Row],[Cancelada]]&lt;&gt;"","Cancelada",IF(Projeto6[[#This Row],[Iniciada]]&lt;&gt;"","Iniciada",""))))))</f>
        <v/>
      </c>
      <c r="F85" s="25"/>
      <c r="G85" s="24"/>
      <c r="H85" s="24"/>
      <c r="I85" s="24"/>
      <c r="J85" s="37" t="str">
        <f ca="1">IF(Projeto6[[#This Row],[Status]]&lt;&gt;"Concluída","",IF(Projeto6[[#This Row],[Data Fim Real da Fase]]="","",IF(AND(Projeto6[[#This Row],[Status]]="Concluída",Projeto6[[#This Row],[Data Fim Real da Fase]]&lt;&gt;"",Projeto6[[#This Row],[Data Repactuada]]&lt;&gt;""),Projeto6[[#This Row],[Data Fim Real da Fase]]-Projeto6[[#This Row],[Data Repactuada]],Projeto6[[#This Row],[Data Fim Real da Fase]]-Projeto6[[#This Row],[Data Fim Prevista]])))</f>
        <v/>
      </c>
      <c r="K85" s="27"/>
      <c r="L85" s="27"/>
      <c r="M85" s="27"/>
      <c r="N85" s="28"/>
      <c r="O85" s="34">
        <f t="shared" ca="1" si="5"/>
        <v>43710</v>
      </c>
      <c r="P85" s="30">
        <f>IF(Projeto6[[#This Row],[Iniciada]]&lt;&gt;"",1,0)</f>
        <v>0</v>
      </c>
      <c r="Q85" s="30">
        <f ca="1">IF(Projeto6[[#This Row],[Já iniciada]]=1,0,IF(AND(Projeto6[[#This Row],[Data Início Prevista]]&lt;&gt;0,Projeto6[[#This Row],[éhoje]]&gt;Projeto6[[#This Row],[Data Início Prevista]]),1,0))</f>
        <v>0</v>
      </c>
      <c r="R85" s="30">
        <f>IF(Projeto6[[#This Row],[Concluido]]=1,0,IF(Projeto6[[#This Row],[Cancelada]]&lt;&gt;"",0,IF(Projeto6[[#This Row],[Data Fim Prevista]]=0,0,IF(Projeto6[[#This Row],[Repact]]=1,IF(Projeto6[[#This Row],[éhoje]]&lt;Projeto6[[#This Row],[Data Repactuada]],0,1),IF(Projeto6[[#This Row],[éhoje]]&gt;Projeto6[[#This Row],[Data Fim Prevista]],1,0)))))</f>
        <v>0</v>
      </c>
      <c r="S85" s="29">
        <f>IF(Projeto6[[#This Row],[Data Repactuada]]&lt;&gt;"",1,0)</f>
        <v>0</v>
      </c>
      <c r="T85" s="30">
        <f>IF(Projeto6[[#This Row],[Concluída]]&lt;&gt;"",1,0)</f>
        <v>0</v>
      </c>
    </row>
    <row r="86" spans="2:20" collapsed="1" x14ac:dyDescent="0.25"/>
    <row r="87" spans="2:20" x14ac:dyDescent="0.25"/>
    <row r="88" spans="2:20" s="43" customFormat="1" ht="21" customHeight="1" x14ac:dyDescent="0.25">
      <c r="B88" s="38" t="s">
        <v>146</v>
      </c>
      <c r="C88" s="129" t="str">
        <f>'7'!$H$6</f>
        <v>&lt;Nome curto / apelido / código do projeto &gt;</v>
      </c>
      <c r="D88" s="129"/>
      <c r="E88" s="129"/>
      <c r="F88" s="129"/>
      <c r="G88" s="129"/>
      <c r="H88" s="68" t="s">
        <v>138</v>
      </c>
      <c r="I88" s="39">
        <f>'7'!$H$11</f>
        <v>0</v>
      </c>
      <c r="J88" s="40" t="s">
        <v>140</v>
      </c>
      <c r="K88" s="39">
        <f>'7'!$AB$11</f>
        <v>0</v>
      </c>
      <c r="L88" s="41"/>
      <c r="M88" s="42"/>
      <c r="O88" s="47" t="s">
        <v>150</v>
      </c>
      <c r="P88" s="46"/>
      <c r="Q88" s="46"/>
      <c r="R88" s="46"/>
      <c r="S88" s="46"/>
      <c r="T88" s="46"/>
    </row>
    <row r="89" spans="2:20" s="23" customFormat="1" ht="31.5" hidden="1" customHeight="1" outlineLevel="1" x14ac:dyDescent="0.2">
      <c r="B89" s="31" t="s">
        <v>37</v>
      </c>
      <c r="C89" s="31" t="s">
        <v>139</v>
      </c>
      <c r="D89" s="31" t="s">
        <v>137</v>
      </c>
      <c r="E89" s="31" t="s">
        <v>116</v>
      </c>
      <c r="F89" s="31" t="s">
        <v>117</v>
      </c>
      <c r="G89" s="31" t="s">
        <v>118</v>
      </c>
      <c r="H89" s="31" t="s">
        <v>119</v>
      </c>
      <c r="I89" s="31" t="s">
        <v>120</v>
      </c>
      <c r="J89" s="31" t="s">
        <v>121</v>
      </c>
      <c r="K89" s="32" t="s">
        <v>122</v>
      </c>
      <c r="L89" s="32" t="s">
        <v>123</v>
      </c>
      <c r="M89" s="32" t="s">
        <v>124</v>
      </c>
      <c r="N89" s="28" t="s">
        <v>125</v>
      </c>
      <c r="O89" s="33" t="s">
        <v>126</v>
      </c>
      <c r="P89" s="32" t="s">
        <v>127</v>
      </c>
      <c r="Q89" s="32" t="s">
        <v>128</v>
      </c>
      <c r="R89" s="32" t="s">
        <v>129</v>
      </c>
      <c r="S89" s="32" t="s">
        <v>130</v>
      </c>
      <c r="T89" s="32" t="s">
        <v>131</v>
      </c>
    </row>
    <row r="90" spans="2:20" s="22" customFormat="1" ht="15.75" hidden="1" outlineLevel="1" x14ac:dyDescent="0.25">
      <c r="B90" s="44">
        <f>'7'!$B$32</f>
        <v>0</v>
      </c>
      <c r="C90" s="45">
        <f>'7'!$Z$32</f>
        <v>0</v>
      </c>
      <c r="D90" s="45">
        <f>'7'!$AD$32</f>
        <v>0</v>
      </c>
      <c r="E90" s="26" t="str">
        <f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>Concluída</v>
      </c>
      <c r="F90" s="25" t="s">
        <v>249</v>
      </c>
      <c r="G90" s="25"/>
      <c r="H90" s="24"/>
      <c r="I90" s="25" t="s">
        <v>195</v>
      </c>
      <c r="J90" s="37" t="e">
        <f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>#VALUE!</v>
      </c>
      <c r="K90" s="27">
        <v>43528</v>
      </c>
      <c r="L90" s="27">
        <v>43528</v>
      </c>
      <c r="M90" s="27"/>
      <c r="N90" s="28"/>
      <c r="O90" s="34">
        <f t="shared" ref="O90:O99" ca="1" si="6">TODAY()</f>
        <v>43710</v>
      </c>
      <c r="P90" s="30">
        <f>IF(Projeto7[[#This Row],[Iniciada]]&lt;&gt;"",1,0)</f>
        <v>1</v>
      </c>
      <c r="Q90" s="30">
        <f>IF(Projeto7[[#This Row],[Já iniciada]]=1,0,IF(AND(Projeto7[[#This Row],[Data Início Prevista]]&lt;&gt;0,Projeto7[[#This Row],[éhoje]]&gt;Projeto7[[#This Row],[Data Início Prevista]]),1,0))</f>
        <v>0</v>
      </c>
      <c r="R90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0" s="29">
        <f>IF(Projeto7[[#This Row],[Data Repactuada]]&lt;&gt;"",1,0)</f>
        <v>0</v>
      </c>
      <c r="T90" s="30">
        <f>IF(Projeto7[[#This Row],[Concluída]]&lt;&gt;"",1,0)</f>
        <v>1</v>
      </c>
    </row>
    <row r="91" spans="2:20" s="22" customFormat="1" ht="15.75" hidden="1" outlineLevel="1" x14ac:dyDescent="0.25">
      <c r="B91" s="44">
        <f>'7'!$B$33</f>
        <v>0</v>
      </c>
      <c r="C91" s="45">
        <f>'7'!$Z$33</f>
        <v>0</v>
      </c>
      <c r="D91" s="45">
        <f>'7'!$AD$33</f>
        <v>0</v>
      </c>
      <c r="E91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1" s="25"/>
      <c r="G91" s="24"/>
      <c r="H91" s="24"/>
      <c r="I91" s="24"/>
      <c r="J91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1" s="27"/>
      <c r="L91" s="27"/>
      <c r="M91" s="27"/>
      <c r="N91" s="28"/>
      <c r="O91" s="34">
        <f t="shared" ca="1" si="6"/>
        <v>43710</v>
      </c>
      <c r="P91" s="30">
        <f>IF(Projeto7[[#This Row],[Iniciada]]&lt;&gt;"",1,0)</f>
        <v>0</v>
      </c>
      <c r="Q91" s="30">
        <f ca="1">IF(Projeto7[[#This Row],[Já iniciada]]=1,0,IF(AND(Projeto7[[#This Row],[Data Início Prevista]]&lt;&gt;0,Projeto7[[#This Row],[éhoje]]&gt;Projeto7[[#This Row],[Data Início Prevista]]),1,0))</f>
        <v>0</v>
      </c>
      <c r="R91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1" s="29">
        <f>IF(Projeto7[[#This Row],[Data Repactuada]]&lt;&gt;"",1,0)</f>
        <v>0</v>
      </c>
      <c r="T91" s="30">
        <f>IF(Projeto7[[#This Row],[Concluída]]&lt;&gt;"",1,0)</f>
        <v>0</v>
      </c>
    </row>
    <row r="92" spans="2:20" s="22" customFormat="1" ht="15.75" hidden="1" outlineLevel="1" x14ac:dyDescent="0.25">
      <c r="B92" s="44">
        <f>'7'!$B$34</f>
        <v>0</v>
      </c>
      <c r="C92" s="45">
        <f>'7'!$Z$34</f>
        <v>0</v>
      </c>
      <c r="D92" s="45">
        <f>'7'!$AD$34</f>
        <v>0</v>
      </c>
      <c r="E92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2" s="25"/>
      <c r="G92" s="24"/>
      <c r="H92" s="24"/>
      <c r="I92" s="24"/>
      <c r="J92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2" s="27"/>
      <c r="L92" s="27"/>
      <c r="M92" s="27"/>
      <c r="N92" s="28"/>
      <c r="O92" s="34">
        <f t="shared" ca="1" si="6"/>
        <v>43710</v>
      </c>
      <c r="P92" s="30">
        <f>IF(Projeto7[[#This Row],[Iniciada]]&lt;&gt;"",1,0)</f>
        <v>0</v>
      </c>
      <c r="Q92" s="30">
        <f ca="1">IF(Projeto7[[#This Row],[Já iniciada]]=1,0,IF(AND(Projeto7[[#This Row],[Data Início Prevista]]&lt;&gt;0,Projeto7[[#This Row],[éhoje]]&gt;Projeto7[[#This Row],[Data Início Prevista]]),1,0))</f>
        <v>0</v>
      </c>
      <c r="R92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2" s="29">
        <f>IF(Projeto7[[#This Row],[Data Repactuada]]&lt;&gt;"",1,0)</f>
        <v>0</v>
      </c>
      <c r="T92" s="30">
        <f>IF(Projeto7[[#This Row],[Concluída]]&lt;&gt;"",1,0)</f>
        <v>0</v>
      </c>
    </row>
    <row r="93" spans="2:20" s="22" customFormat="1" ht="15.75" hidden="1" outlineLevel="1" x14ac:dyDescent="0.25">
      <c r="B93" s="44">
        <f>'7'!$B$35</f>
        <v>0</v>
      </c>
      <c r="C93" s="45">
        <f>'7'!$Z$35</f>
        <v>0</v>
      </c>
      <c r="D93" s="45">
        <f>'7'!$AD$35</f>
        <v>0</v>
      </c>
      <c r="E93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3" s="25"/>
      <c r="G93" s="24"/>
      <c r="H93" s="24"/>
      <c r="I93" s="24"/>
      <c r="J93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3" s="27"/>
      <c r="L93" s="27"/>
      <c r="M93" s="27"/>
      <c r="N93" s="28"/>
      <c r="O93" s="34">
        <f t="shared" ca="1" si="6"/>
        <v>43710</v>
      </c>
      <c r="P93" s="30">
        <f>IF(Projeto7[[#This Row],[Iniciada]]&lt;&gt;"",1,0)</f>
        <v>0</v>
      </c>
      <c r="Q93" s="30">
        <f ca="1">IF(Projeto7[[#This Row],[Já iniciada]]=1,0,IF(AND(Projeto7[[#This Row],[Data Início Prevista]]&lt;&gt;0,Projeto7[[#This Row],[éhoje]]&gt;Projeto7[[#This Row],[Data Início Prevista]]),1,0))</f>
        <v>0</v>
      </c>
      <c r="R93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3" s="29">
        <f>IF(Projeto7[[#This Row],[Data Repactuada]]&lt;&gt;"",1,0)</f>
        <v>0</v>
      </c>
      <c r="T93" s="30">
        <f>IF(Projeto7[[#This Row],[Concluída]]&lt;&gt;"",1,0)</f>
        <v>0</v>
      </c>
    </row>
    <row r="94" spans="2:20" s="22" customFormat="1" ht="15.75" hidden="1" outlineLevel="1" x14ac:dyDescent="0.25">
      <c r="B94" s="44">
        <f>'7'!$B$36</f>
        <v>0</v>
      </c>
      <c r="C94" s="45">
        <f>'7'!$Z$36</f>
        <v>0</v>
      </c>
      <c r="D94" s="45">
        <f>'7'!$AD$36</f>
        <v>0</v>
      </c>
      <c r="E94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4" s="25"/>
      <c r="G94" s="24"/>
      <c r="H94" s="24"/>
      <c r="I94" s="24"/>
      <c r="J94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4" s="27"/>
      <c r="L94" s="27"/>
      <c r="M94" s="27"/>
      <c r="N94" s="28"/>
      <c r="O94" s="34">
        <f t="shared" ca="1" si="6"/>
        <v>43710</v>
      </c>
      <c r="P94" s="30">
        <f>IF(Projeto7[[#This Row],[Iniciada]]&lt;&gt;"",1,0)</f>
        <v>0</v>
      </c>
      <c r="Q94" s="30">
        <f ca="1">IF(Projeto7[[#This Row],[Já iniciada]]=1,0,IF(AND(Projeto7[[#This Row],[Data Início Prevista]]&lt;&gt;0,Projeto7[[#This Row],[éhoje]]&gt;Projeto7[[#This Row],[Data Início Prevista]]),1,0))</f>
        <v>0</v>
      </c>
      <c r="R94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4" s="29">
        <f>IF(Projeto7[[#This Row],[Data Repactuada]]&lt;&gt;"",1,0)</f>
        <v>0</v>
      </c>
      <c r="T94" s="30">
        <f>IF(Projeto7[[#This Row],[Concluída]]&lt;&gt;"",1,0)</f>
        <v>0</v>
      </c>
    </row>
    <row r="95" spans="2:20" s="22" customFormat="1" ht="15.75" hidden="1" outlineLevel="1" x14ac:dyDescent="0.25">
      <c r="B95" s="44">
        <f>'7'!$B$37</f>
        <v>0</v>
      </c>
      <c r="C95" s="45">
        <f>'7'!$Z$37</f>
        <v>0</v>
      </c>
      <c r="D95" s="45">
        <f>'7'!$AD$37</f>
        <v>0</v>
      </c>
      <c r="E95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5" s="25"/>
      <c r="G95" s="24"/>
      <c r="H95" s="24"/>
      <c r="I95" s="24"/>
      <c r="J95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5" s="27"/>
      <c r="L95" s="27"/>
      <c r="M95" s="27"/>
      <c r="N95" s="28"/>
      <c r="O95" s="34">
        <f t="shared" ca="1" si="6"/>
        <v>43710</v>
      </c>
      <c r="P95" s="30">
        <f>IF(Projeto7[[#This Row],[Iniciada]]&lt;&gt;"",1,0)</f>
        <v>0</v>
      </c>
      <c r="Q95" s="30">
        <f ca="1">IF(Projeto7[[#This Row],[Já iniciada]]=1,0,IF(AND(Projeto7[[#This Row],[Data Início Prevista]]&lt;&gt;0,Projeto7[[#This Row],[éhoje]]&gt;Projeto7[[#This Row],[Data Início Prevista]]),1,0))</f>
        <v>0</v>
      </c>
      <c r="R95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5" s="29">
        <f>IF(Projeto7[[#This Row],[Data Repactuada]]&lt;&gt;"",1,0)</f>
        <v>0</v>
      </c>
      <c r="T95" s="30">
        <f>IF(Projeto7[[#This Row],[Concluída]]&lt;&gt;"",1,0)</f>
        <v>0</v>
      </c>
    </row>
    <row r="96" spans="2:20" s="22" customFormat="1" ht="15.75" hidden="1" outlineLevel="1" x14ac:dyDescent="0.25">
      <c r="B96" s="44">
        <f>'7'!$B$38</f>
        <v>0</v>
      </c>
      <c r="C96" s="45">
        <f>'7'!$Z$38</f>
        <v>0</v>
      </c>
      <c r="D96" s="45">
        <f>'7'!$AD$38</f>
        <v>0</v>
      </c>
      <c r="E96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6" s="25"/>
      <c r="G96" s="24"/>
      <c r="H96" s="24"/>
      <c r="I96" s="24"/>
      <c r="J96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6" s="27"/>
      <c r="L96" s="27"/>
      <c r="M96" s="27"/>
      <c r="N96" s="28"/>
      <c r="O96" s="34">
        <f t="shared" ca="1" si="6"/>
        <v>43710</v>
      </c>
      <c r="P96" s="30">
        <f>IF(Projeto7[[#This Row],[Iniciada]]&lt;&gt;"",1,0)</f>
        <v>0</v>
      </c>
      <c r="Q96" s="30">
        <f ca="1">IF(Projeto7[[#This Row],[Já iniciada]]=1,0,IF(AND(Projeto7[[#This Row],[Data Início Prevista]]&lt;&gt;0,Projeto7[[#This Row],[éhoje]]&gt;Projeto7[[#This Row],[Data Início Prevista]]),1,0))</f>
        <v>0</v>
      </c>
      <c r="R96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6" s="29">
        <f>IF(Projeto7[[#This Row],[Data Repactuada]]&lt;&gt;"",1,0)</f>
        <v>0</v>
      </c>
      <c r="T96" s="30">
        <f>IF(Projeto7[[#This Row],[Concluída]]&lt;&gt;"",1,0)</f>
        <v>0</v>
      </c>
    </row>
    <row r="97" spans="2:20" s="22" customFormat="1" ht="15.75" hidden="1" outlineLevel="1" x14ac:dyDescent="0.25">
      <c r="B97" s="44">
        <f>'7'!$B$39</f>
        <v>0</v>
      </c>
      <c r="C97" s="45">
        <f>'7'!$Z$39</f>
        <v>0</v>
      </c>
      <c r="D97" s="45">
        <f>'7'!$AD$39</f>
        <v>0</v>
      </c>
      <c r="E97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7" s="25"/>
      <c r="G97" s="24"/>
      <c r="H97" s="24"/>
      <c r="I97" s="24"/>
      <c r="J97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7" s="27"/>
      <c r="L97" s="27"/>
      <c r="M97" s="27"/>
      <c r="N97" s="28"/>
      <c r="O97" s="34">
        <f t="shared" ca="1" si="6"/>
        <v>43710</v>
      </c>
      <c r="P97" s="30">
        <f>IF(Projeto7[[#This Row],[Iniciada]]&lt;&gt;"",1,0)</f>
        <v>0</v>
      </c>
      <c r="Q97" s="30">
        <f ca="1">IF(Projeto7[[#This Row],[Já iniciada]]=1,0,IF(AND(Projeto7[[#This Row],[Data Início Prevista]]&lt;&gt;0,Projeto7[[#This Row],[éhoje]]&gt;Projeto7[[#This Row],[Data Início Prevista]]),1,0))</f>
        <v>0</v>
      </c>
      <c r="R97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7" s="29">
        <f>IF(Projeto7[[#This Row],[Data Repactuada]]&lt;&gt;"",1,0)</f>
        <v>0</v>
      </c>
      <c r="T97" s="30">
        <f>IF(Projeto7[[#This Row],[Concluída]]&lt;&gt;"",1,0)</f>
        <v>0</v>
      </c>
    </row>
    <row r="98" spans="2:20" s="22" customFormat="1" ht="15.75" hidden="1" outlineLevel="1" x14ac:dyDescent="0.25">
      <c r="B98" s="44">
        <f>'7'!$B$40</f>
        <v>0</v>
      </c>
      <c r="C98" s="45">
        <f>'7'!$Z$40</f>
        <v>0</v>
      </c>
      <c r="D98" s="45">
        <f>'7'!$AD$40</f>
        <v>0</v>
      </c>
      <c r="E98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8" s="25"/>
      <c r="G98" s="24"/>
      <c r="H98" s="24"/>
      <c r="I98" s="24"/>
      <c r="J98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8" s="27"/>
      <c r="L98" s="27"/>
      <c r="M98" s="27"/>
      <c r="N98" s="28"/>
      <c r="O98" s="34">
        <f t="shared" ca="1" si="6"/>
        <v>43710</v>
      </c>
      <c r="P98" s="30">
        <f>IF(Projeto7[[#This Row],[Iniciada]]&lt;&gt;"",1,0)</f>
        <v>0</v>
      </c>
      <c r="Q98" s="30">
        <f ca="1">IF(Projeto7[[#This Row],[Já iniciada]]=1,0,IF(AND(Projeto7[[#This Row],[Data Início Prevista]]&lt;&gt;0,Projeto7[[#This Row],[éhoje]]&gt;Projeto7[[#This Row],[Data Início Prevista]]),1,0))</f>
        <v>0</v>
      </c>
      <c r="R98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8" s="29">
        <f>IF(Projeto7[[#This Row],[Data Repactuada]]&lt;&gt;"",1,0)</f>
        <v>0</v>
      </c>
      <c r="T98" s="30">
        <f>IF(Projeto7[[#This Row],[Concluída]]&lt;&gt;"",1,0)</f>
        <v>0</v>
      </c>
    </row>
    <row r="99" spans="2:20" s="22" customFormat="1" ht="15.75" hidden="1" outlineLevel="1" x14ac:dyDescent="0.25">
      <c r="B99" s="44">
        <f>'7'!$B$41</f>
        <v>0</v>
      </c>
      <c r="C99" s="45">
        <f>'7'!$Z$41</f>
        <v>0</v>
      </c>
      <c r="D99" s="45">
        <f>'7'!$AD$41</f>
        <v>0</v>
      </c>
      <c r="E99" s="26" t="str">
        <f ca="1">IF(Projeto7[[#This Row],[Data Início Prevista]]&lt;&gt;"",IF(Projeto7[[#This Row],[Concluída]]&lt;&gt;"","Concluída",IF(Projeto7[[#This Row],[atraso inicio]]=1,"Atrasada",IF(Projeto7[[#This Row],[atraso FIM]]=1,"Atrasada",IF(Projeto7[[#This Row],[Cancelada]]&lt;&gt;"","Cancelada",IF(Projeto7[[#This Row],[Iniciada]]&lt;&gt;"","Iniciada",""))))))</f>
        <v/>
      </c>
      <c r="F99" s="25"/>
      <c r="G99" s="24"/>
      <c r="H99" s="24"/>
      <c r="I99" s="24"/>
      <c r="J99" s="37" t="str">
        <f ca="1">IF(Projeto7[[#This Row],[Status]]&lt;&gt;"Concluída","",IF(Projeto7[[#This Row],[Data Fim Real da Fase]]="","",IF(AND(Projeto7[[#This Row],[Status]]="Concluída",Projeto7[[#This Row],[Data Fim Real da Fase]]&lt;&gt;"",Projeto7[[#This Row],[Data Repactuada]]&lt;&gt;""),Projeto7[[#This Row],[Data Fim Real da Fase]]-Projeto7[[#This Row],[Data Repactuada]],Projeto7[[#This Row],[Data Fim Real da Fase]]-Projeto7[[#This Row],[Data Fim Prevista]])))</f>
        <v/>
      </c>
      <c r="K99" s="27"/>
      <c r="L99" s="27"/>
      <c r="M99" s="27"/>
      <c r="N99" s="28"/>
      <c r="O99" s="34">
        <f t="shared" ca="1" si="6"/>
        <v>43710</v>
      </c>
      <c r="P99" s="30">
        <f>IF(Projeto7[[#This Row],[Iniciada]]&lt;&gt;"",1,0)</f>
        <v>0</v>
      </c>
      <c r="Q99" s="30">
        <f ca="1">IF(Projeto7[[#This Row],[Já iniciada]]=1,0,IF(AND(Projeto7[[#This Row],[Data Início Prevista]]&lt;&gt;0,Projeto7[[#This Row],[éhoje]]&gt;Projeto7[[#This Row],[Data Início Prevista]]),1,0))</f>
        <v>0</v>
      </c>
      <c r="R99" s="30">
        <f>IF(Projeto7[[#This Row],[Concluido]]=1,0,IF(Projeto7[[#This Row],[Cancelada]]&lt;&gt;"",0,IF(Projeto7[[#This Row],[Data Fim Prevista]]=0,0,IF(Projeto7[[#This Row],[Repact]]=1,IF(Projeto7[[#This Row],[éhoje]]&lt;Projeto7[[#This Row],[Data Repactuada]],0,1),IF(Projeto7[[#This Row],[éhoje]]&gt;Projeto7[[#This Row],[Data Fim Prevista]],1,0)))))</f>
        <v>0</v>
      </c>
      <c r="S99" s="29">
        <f>IF(Projeto7[[#This Row],[Data Repactuada]]&lt;&gt;"",1,0)</f>
        <v>0</v>
      </c>
      <c r="T99" s="30">
        <f>IF(Projeto7[[#This Row],[Concluída]]&lt;&gt;"",1,0)</f>
        <v>0</v>
      </c>
    </row>
    <row r="100" spans="2:20" collapsed="1" x14ac:dyDescent="0.25"/>
    <row r="101" spans="2:20" x14ac:dyDescent="0.25"/>
    <row r="102" spans="2:20" s="43" customFormat="1" ht="21" customHeight="1" x14ac:dyDescent="0.25">
      <c r="B102" s="38" t="s">
        <v>147</v>
      </c>
      <c r="C102" s="129" t="str">
        <f>'8'!$H$6</f>
        <v>&lt;Nome curto / apelido / código do projeto &gt;</v>
      </c>
      <c r="D102" s="129"/>
      <c r="E102" s="129"/>
      <c r="F102" s="129"/>
      <c r="G102" s="129"/>
      <c r="H102" s="68" t="s">
        <v>138</v>
      </c>
      <c r="I102" s="39">
        <f>'8'!$H$11</f>
        <v>0</v>
      </c>
      <c r="J102" s="40" t="s">
        <v>140</v>
      </c>
      <c r="K102" s="39">
        <f>'8'!$AB$11</f>
        <v>0</v>
      </c>
      <c r="L102" s="41"/>
      <c r="M102" s="42"/>
      <c r="O102" s="47" t="s">
        <v>150</v>
      </c>
      <c r="P102" s="46"/>
      <c r="Q102" s="46"/>
      <c r="R102" s="46"/>
      <c r="S102" s="46"/>
      <c r="T102" s="46"/>
    </row>
    <row r="103" spans="2:20" s="23" customFormat="1" ht="31.5" hidden="1" customHeight="1" outlineLevel="1" x14ac:dyDescent="0.2">
      <c r="B103" s="31" t="s">
        <v>37</v>
      </c>
      <c r="C103" s="31" t="s">
        <v>139</v>
      </c>
      <c r="D103" s="31" t="s">
        <v>137</v>
      </c>
      <c r="E103" s="31" t="s">
        <v>116</v>
      </c>
      <c r="F103" s="31" t="s">
        <v>117</v>
      </c>
      <c r="G103" s="31" t="s">
        <v>118</v>
      </c>
      <c r="H103" s="31" t="s">
        <v>119</v>
      </c>
      <c r="I103" s="31" t="s">
        <v>120</v>
      </c>
      <c r="J103" s="31" t="s">
        <v>121</v>
      </c>
      <c r="K103" s="32" t="s">
        <v>122</v>
      </c>
      <c r="L103" s="32" t="s">
        <v>123</v>
      </c>
      <c r="M103" s="32" t="s">
        <v>124</v>
      </c>
      <c r="N103" s="28" t="s">
        <v>125</v>
      </c>
      <c r="O103" s="33" t="s">
        <v>126</v>
      </c>
      <c r="P103" s="32" t="s">
        <v>127</v>
      </c>
      <c r="Q103" s="32" t="s">
        <v>128</v>
      </c>
      <c r="R103" s="32" t="s">
        <v>129</v>
      </c>
      <c r="S103" s="32" t="s">
        <v>130</v>
      </c>
      <c r="T103" s="32" t="s">
        <v>131</v>
      </c>
    </row>
    <row r="104" spans="2:20" s="22" customFormat="1" ht="15.75" hidden="1" outlineLevel="1" x14ac:dyDescent="0.25">
      <c r="B104" s="44">
        <f>'8'!$B$32</f>
        <v>0</v>
      </c>
      <c r="C104" s="45">
        <f>'8'!$Z$32</f>
        <v>0</v>
      </c>
      <c r="D104" s="45">
        <f>'8'!$AD$32</f>
        <v>0</v>
      </c>
      <c r="E104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04" s="25" t="s">
        <v>248</v>
      </c>
      <c r="G104" s="25"/>
      <c r="H104" s="24"/>
      <c r="I104" s="25">
        <v>43647</v>
      </c>
      <c r="J104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04" s="27"/>
      <c r="L104" s="27"/>
      <c r="M104" s="27"/>
      <c r="N104" s="28"/>
      <c r="O104" s="34">
        <f t="shared" ref="O104:O113" ca="1" si="7">TODAY()</f>
        <v>43710</v>
      </c>
      <c r="P104" s="30">
        <f>IF(Projeto8[[#This Row],[Iniciada]]&lt;&gt;"",1,0)</f>
        <v>0</v>
      </c>
      <c r="Q104" s="30">
        <f ca="1">IF(Projeto8[[#This Row],[Já iniciada]]=1,0,IF(AND(Projeto8[[#This Row],[Data Início Prevista]]&lt;&gt;0,Projeto8[[#This Row],[éhoje]]&gt;Projeto8[[#This Row],[Data Início Prevista]]),1,0))</f>
        <v>0</v>
      </c>
      <c r="R104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04" s="29">
        <f>IF(Projeto8[[#This Row],[Data Repactuada]]&lt;&gt;"",1,0)</f>
        <v>0</v>
      </c>
      <c r="T104" s="30">
        <f>IF(Projeto8[[#This Row],[Concluída]]&lt;&gt;"",1,0)</f>
        <v>0</v>
      </c>
    </row>
    <row r="105" spans="2:20" s="22" customFormat="1" ht="15.75" hidden="1" outlineLevel="1" x14ac:dyDescent="0.25">
      <c r="B105" s="44">
        <f>'8'!$B$33</f>
        <v>0</v>
      </c>
      <c r="C105" s="45">
        <f>'8'!$Z$33</f>
        <v>0</v>
      </c>
      <c r="D105" s="45">
        <f>'8'!$AD$33</f>
        <v>0</v>
      </c>
      <c r="E105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05" s="25"/>
      <c r="G105" s="24"/>
      <c r="H105" s="24"/>
      <c r="I105" s="24"/>
      <c r="J105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05" s="27"/>
      <c r="L105" s="27"/>
      <c r="M105" s="27"/>
      <c r="N105" s="28"/>
      <c r="O105" s="34">
        <f t="shared" ca="1" si="7"/>
        <v>43710</v>
      </c>
      <c r="P105" s="30">
        <f>IF(Projeto8[[#This Row],[Iniciada]]&lt;&gt;"",1,0)</f>
        <v>0</v>
      </c>
      <c r="Q105" s="30">
        <f ca="1">IF(Projeto8[[#This Row],[Já iniciada]]=1,0,IF(AND(Projeto8[[#This Row],[Data Início Prevista]]&lt;&gt;0,Projeto8[[#This Row],[éhoje]]&gt;Projeto8[[#This Row],[Data Início Prevista]]),1,0))</f>
        <v>0</v>
      </c>
      <c r="R105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05" s="29">
        <f>IF(Projeto8[[#This Row],[Data Repactuada]]&lt;&gt;"",1,0)</f>
        <v>0</v>
      </c>
      <c r="T105" s="30">
        <f>IF(Projeto8[[#This Row],[Concluída]]&lt;&gt;"",1,0)</f>
        <v>0</v>
      </c>
    </row>
    <row r="106" spans="2:20" s="22" customFormat="1" ht="15.75" hidden="1" outlineLevel="1" x14ac:dyDescent="0.25">
      <c r="B106" s="44">
        <f>'8'!$B$34</f>
        <v>0</v>
      </c>
      <c r="C106" s="45">
        <f>'8'!$Z$34</f>
        <v>0</v>
      </c>
      <c r="D106" s="45">
        <f>'8'!$AD$34</f>
        <v>0</v>
      </c>
      <c r="E106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06" s="25"/>
      <c r="G106" s="24"/>
      <c r="H106" s="24"/>
      <c r="I106" s="24"/>
      <c r="J106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06" s="27"/>
      <c r="L106" s="27"/>
      <c r="M106" s="27"/>
      <c r="N106" s="28"/>
      <c r="O106" s="34">
        <f t="shared" ca="1" si="7"/>
        <v>43710</v>
      </c>
      <c r="P106" s="30">
        <f>IF(Projeto8[[#This Row],[Iniciada]]&lt;&gt;"",1,0)</f>
        <v>0</v>
      </c>
      <c r="Q106" s="30">
        <f ca="1">IF(Projeto8[[#This Row],[Já iniciada]]=1,0,IF(AND(Projeto8[[#This Row],[Data Início Prevista]]&lt;&gt;0,Projeto8[[#This Row],[éhoje]]&gt;Projeto8[[#This Row],[Data Início Prevista]]),1,0))</f>
        <v>0</v>
      </c>
      <c r="R106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06" s="29">
        <f>IF(Projeto8[[#This Row],[Data Repactuada]]&lt;&gt;"",1,0)</f>
        <v>0</v>
      </c>
      <c r="T106" s="30">
        <f>IF(Projeto8[[#This Row],[Concluída]]&lt;&gt;"",1,0)</f>
        <v>0</v>
      </c>
    </row>
    <row r="107" spans="2:20" s="22" customFormat="1" ht="15.75" hidden="1" outlineLevel="1" x14ac:dyDescent="0.25">
      <c r="B107" s="44">
        <f>'8'!$B$35</f>
        <v>0</v>
      </c>
      <c r="C107" s="45">
        <f>'8'!$Z$35</f>
        <v>0</v>
      </c>
      <c r="D107" s="45">
        <f>'8'!$AD$35</f>
        <v>0</v>
      </c>
      <c r="E107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07" s="25"/>
      <c r="G107" s="24"/>
      <c r="H107" s="24"/>
      <c r="I107" s="24"/>
      <c r="J107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07" s="27"/>
      <c r="L107" s="27"/>
      <c r="M107" s="27"/>
      <c r="N107" s="28"/>
      <c r="O107" s="34">
        <f t="shared" ca="1" si="7"/>
        <v>43710</v>
      </c>
      <c r="P107" s="30">
        <f>IF(Projeto8[[#This Row],[Iniciada]]&lt;&gt;"",1,0)</f>
        <v>0</v>
      </c>
      <c r="Q107" s="30">
        <f ca="1">IF(Projeto8[[#This Row],[Já iniciada]]=1,0,IF(AND(Projeto8[[#This Row],[Data Início Prevista]]&lt;&gt;0,Projeto8[[#This Row],[éhoje]]&gt;Projeto8[[#This Row],[Data Início Prevista]]),1,0))</f>
        <v>0</v>
      </c>
      <c r="R107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07" s="29">
        <f>IF(Projeto8[[#This Row],[Data Repactuada]]&lt;&gt;"",1,0)</f>
        <v>0</v>
      </c>
      <c r="T107" s="30">
        <f>IF(Projeto8[[#This Row],[Concluída]]&lt;&gt;"",1,0)</f>
        <v>0</v>
      </c>
    </row>
    <row r="108" spans="2:20" s="22" customFormat="1" ht="15.75" hidden="1" outlineLevel="1" x14ac:dyDescent="0.25">
      <c r="B108" s="44">
        <f>'8'!$B$36</f>
        <v>0</v>
      </c>
      <c r="C108" s="45">
        <f>'8'!$Z$36</f>
        <v>0</v>
      </c>
      <c r="D108" s="45">
        <f>'8'!$AD$36</f>
        <v>0</v>
      </c>
      <c r="E108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08" s="25"/>
      <c r="G108" s="24"/>
      <c r="H108" s="24"/>
      <c r="I108" s="24"/>
      <c r="J108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08" s="27"/>
      <c r="L108" s="27"/>
      <c r="M108" s="27"/>
      <c r="N108" s="28"/>
      <c r="O108" s="34">
        <f t="shared" ca="1" si="7"/>
        <v>43710</v>
      </c>
      <c r="P108" s="30">
        <f>IF(Projeto8[[#This Row],[Iniciada]]&lt;&gt;"",1,0)</f>
        <v>0</v>
      </c>
      <c r="Q108" s="30">
        <f ca="1">IF(Projeto8[[#This Row],[Já iniciada]]=1,0,IF(AND(Projeto8[[#This Row],[Data Início Prevista]]&lt;&gt;0,Projeto8[[#This Row],[éhoje]]&gt;Projeto8[[#This Row],[Data Início Prevista]]),1,0))</f>
        <v>0</v>
      </c>
      <c r="R108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08" s="29">
        <f>IF(Projeto8[[#This Row],[Data Repactuada]]&lt;&gt;"",1,0)</f>
        <v>0</v>
      </c>
      <c r="T108" s="30">
        <f>IF(Projeto8[[#This Row],[Concluída]]&lt;&gt;"",1,0)</f>
        <v>0</v>
      </c>
    </row>
    <row r="109" spans="2:20" s="22" customFormat="1" ht="15.75" hidden="1" outlineLevel="1" x14ac:dyDescent="0.25">
      <c r="B109" s="44">
        <f>'8'!$B$37</f>
        <v>0</v>
      </c>
      <c r="C109" s="45">
        <f>'8'!$Z$37</f>
        <v>0</v>
      </c>
      <c r="D109" s="45">
        <f>'8'!$AD$37</f>
        <v>0</v>
      </c>
      <c r="E109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09" s="25"/>
      <c r="G109" s="24"/>
      <c r="H109" s="24"/>
      <c r="I109" s="24"/>
      <c r="J109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09" s="27"/>
      <c r="L109" s="27"/>
      <c r="M109" s="27"/>
      <c r="N109" s="28"/>
      <c r="O109" s="34">
        <f t="shared" ca="1" si="7"/>
        <v>43710</v>
      </c>
      <c r="P109" s="30">
        <f>IF(Projeto8[[#This Row],[Iniciada]]&lt;&gt;"",1,0)</f>
        <v>0</v>
      </c>
      <c r="Q109" s="30">
        <f ca="1">IF(Projeto8[[#This Row],[Já iniciada]]=1,0,IF(AND(Projeto8[[#This Row],[Data Início Prevista]]&lt;&gt;0,Projeto8[[#This Row],[éhoje]]&gt;Projeto8[[#This Row],[Data Início Prevista]]),1,0))</f>
        <v>0</v>
      </c>
      <c r="R109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09" s="29">
        <f>IF(Projeto8[[#This Row],[Data Repactuada]]&lt;&gt;"",1,0)</f>
        <v>0</v>
      </c>
      <c r="T109" s="30">
        <f>IF(Projeto8[[#This Row],[Concluída]]&lt;&gt;"",1,0)</f>
        <v>0</v>
      </c>
    </row>
    <row r="110" spans="2:20" s="22" customFormat="1" ht="15.75" hidden="1" outlineLevel="1" x14ac:dyDescent="0.25">
      <c r="B110" s="44">
        <f>'8'!$B$38</f>
        <v>0</v>
      </c>
      <c r="C110" s="45">
        <f>'8'!$Z$38</f>
        <v>0</v>
      </c>
      <c r="D110" s="45">
        <f>'8'!$AD$38</f>
        <v>0</v>
      </c>
      <c r="E110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10" s="25"/>
      <c r="G110" s="24"/>
      <c r="H110" s="24"/>
      <c r="I110" s="24"/>
      <c r="J110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10" s="27"/>
      <c r="L110" s="27"/>
      <c r="M110" s="27"/>
      <c r="N110" s="28"/>
      <c r="O110" s="34">
        <f t="shared" ca="1" si="7"/>
        <v>43710</v>
      </c>
      <c r="P110" s="30">
        <f>IF(Projeto8[[#This Row],[Iniciada]]&lt;&gt;"",1,0)</f>
        <v>0</v>
      </c>
      <c r="Q110" s="30">
        <f ca="1">IF(Projeto8[[#This Row],[Já iniciada]]=1,0,IF(AND(Projeto8[[#This Row],[Data Início Prevista]]&lt;&gt;0,Projeto8[[#This Row],[éhoje]]&gt;Projeto8[[#This Row],[Data Início Prevista]]),1,0))</f>
        <v>0</v>
      </c>
      <c r="R110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10" s="29">
        <f>IF(Projeto8[[#This Row],[Data Repactuada]]&lt;&gt;"",1,0)</f>
        <v>0</v>
      </c>
      <c r="T110" s="30">
        <f>IF(Projeto8[[#This Row],[Concluída]]&lt;&gt;"",1,0)</f>
        <v>0</v>
      </c>
    </row>
    <row r="111" spans="2:20" s="22" customFormat="1" ht="15.75" hidden="1" outlineLevel="1" x14ac:dyDescent="0.25">
      <c r="B111" s="44">
        <f>'8'!$B$39</f>
        <v>0</v>
      </c>
      <c r="C111" s="45">
        <f>'8'!$Z$39</f>
        <v>0</v>
      </c>
      <c r="D111" s="45">
        <f>'8'!$AD$39</f>
        <v>0</v>
      </c>
      <c r="E111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11" s="25"/>
      <c r="G111" s="24"/>
      <c r="H111" s="24"/>
      <c r="I111" s="24"/>
      <c r="J111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11" s="27"/>
      <c r="L111" s="27"/>
      <c r="M111" s="27"/>
      <c r="N111" s="28"/>
      <c r="O111" s="34">
        <f t="shared" ca="1" si="7"/>
        <v>43710</v>
      </c>
      <c r="P111" s="30">
        <f>IF(Projeto8[[#This Row],[Iniciada]]&lt;&gt;"",1,0)</f>
        <v>0</v>
      </c>
      <c r="Q111" s="30">
        <f ca="1">IF(Projeto8[[#This Row],[Já iniciada]]=1,0,IF(AND(Projeto8[[#This Row],[Data Início Prevista]]&lt;&gt;0,Projeto8[[#This Row],[éhoje]]&gt;Projeto8[[#This Row],[Data Início Prevista]]),1,0))</f>
        <v>0</v>
      </c>
      <c r="R111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11" s="29">
        <f>IF(Projeto8[[#This Row],[Data Repactuada]]&lt;&gt;"",1,0)</f>
        <v>0</v>
      </c>
      <c r="T111" s="30">
        <f>IF(Projeto8[[#This Row],[Concluída]]&lt;&gt;"",1,0)</f>
        <v>0</v>
      </c>
    </row>
    <row r="112" spans="2:20" s="22" customFormat="1" ht="15.75" hidden="1" outlineLevel="1" x14ac:dyDescent="0.25">
      <c r="B112" s="44">
        <f>'8'!$B$40</f>
        <v>0</v>
      </c>
      <c r="C112" s="45">
        <f>'8'!$Z$40</f>
        <v>0</v>
      </c>
      <c r="D112" s="45">
        <f>'8'!$AD$40</f>
        <v>0</v>
      </c>
      <c r="E112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12" s="25"/>
      <c r="G112" s="24"/>
      <c r="H112" s="24"/>
      <c r="I112" s="24"/>
      <c r="J112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12" s="27"/>
      <c r="L112" s="27"/>
      <c r="M112" s="27"/>
      <c r="N112" s="28"/>
      <c r="O112" s="34">
        <f t="shared" ca="1" si="7"/>
        <v>43710</v>
      </c>
      <c r="P112" s="30">
        <f>IF(Projeto8[[#This Row],[Iniciada]]&lt;&gt;"",1,0)</f>
        <v>0</v>
      </c>
      <c r="Q112" s="30">
        <f ca="1">IF(Projeto8[[#This Row],[Já iniciada]]=1,0,IF(AND(Projeto8[[#This Row],[Data Início Prevista]]&lt;&gt;0,Projeto8[[#This Row],[éhoje]]&gt;Projeto8[[#This Row],[Data Início Prevista]]),1,0))</f>
        <v>0</v>
      </c>
      <c r="R112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12" s="29">
        <f>IF(Projeto8[[#This Row],[Data Repactuada]]&lt;&gt;"",1,0)</f>
        <v>0</v>
      </c>
      <c r="T112" s="30">
        <f>IF(Projeto8[[#This Row],[Concluída]]&lt;&gt;"",1,0)</f>
        <v>0</v>
      </c>
    </row>
    <row r="113" spans="2:20" s="22" customFormat="1" ht="15.75" hidden="1" outlineLevel="1" x14ac:dyDescent="0.25">
      <c r="B113" s="44">
        <f>'8'!$B$41</f>
        <v>0</v>
      </c>
      <c r="C113" s="45">
        <f>'8'!$Z$41</f>
        <v>0</v>
      </c>
      <c r="D113" s="45">
        <f>'8'!$AD$41</f>
        <v>0</v>
      </c>
      <c r="E113" s="26" t="str">
        <f ca="1">IF(Projeto8[[#This Row],[Data Início Prevista]]&lt;&gt;"",IF(Projeto8[[#This Row],[Concluída]]&lt;&gt;"","Concluída",IF(Projeto8[[#This Row],[atraso inicio]]=1,"Atrasada",IF(Projeto8[[#This Row],[atraso FIM]]=1,"Atrasada",IF(Projeto8[[#This Row],[Cancelada]]&lt;&gt;"","Cancelada",IF(Projeto8[[#This Row],[Iniciada]]&lt;&gt;"","Iniciada",""))))))</f>
        <v/>
      </c>
      <c r="F113" s="25"/>
      <c r="G113" s="24"/>
      <c r="H113" s="24"/>
      <c r="I113" s="24"/>
      <c r="J113" s="37" t="str">
        <f ca="1">IF(Projeto8[[#This Row],[Status]]&lt;&gt;"Concluída","",IF(Projeto8[[#This Row],[Data Fim Real da Fase]]="","",IF(AND(Projeto8[[#This Row],[Status]]="Concluída",Projeto8[[#This Row],[Data Fim Real da Fase]]&lt;&gt;"",Projeto8[[#This Row],[Data Repactuada]]&lt;&gt;""),Projeto8[[#This Row],[Data Fim Real da Fase]]-Projeto8[[#This Row],[Data Repactuada]],Projeto8[[#This Row],[Data Fim Real da Fase]]-Projeto8[[#This Row],[Data Fim Prevista]])))</f>
        <v/>
      </c>
      <c r="K113" s="27"/>
      <c r="L113" s="27"/>
      <c r="M113" s="27"/>
      <c r="N113" s="28"/>
      <c r="O113" s="34">
        <f t="shared" ca="1" si="7"/>
        <v>43710</v>
      </c>
      <c r="P113" s="30">
        <f>IF(Projeto8[[#This Row],[Iniciada]]&lt;&gt;"",1,0)</f>
        <v>0</v>
      </c>
      <c r="Q113" s="30">
        <f ca="1">IF(Projeto8[[#This Row],[Já iniciada]]=1,0,IF(AND(Projeto8[[#This Row],[Data Início Prevista]]&lt;&gt;0,Projeto8[[#This Row],[éhoje]]&gt;Projeto8[[#This Row],[Data Início Prevista]]),1,0))</f>
        <v>0</v>
      </c>
      <c r="R113" s="30">
        <f>IF(Projeto8[[#This Row],[Concluido]]=1,0,IF(Projeto8[[#This Row],[Cancelada]]&lt;&gt;"",0,IF(Projeto8[[#This Row],[Data Fim Prevista]]=0,0,IF(Projeto8[[#This Row],[Repact]]=1,IF(Projeto8[[#This Row],[éhoje]]&lt;Projeto8[[#This Row],[Data Repactuada]],0,1),IF(Projeto8[[#This Row],[éhoje]]&gt;Projeto8[[#This Row],[Data Fim Prevista]],1,0)))))</f>
        <v>0</v>
      </c>
      <c r="S113" s="29">
        <f>IF(Projeto8[[#This Row],[Data Repactuada]]&lt;&gt;"",1,0)</f>
        <v>0</v>
      </c>
      <c r="T113" s="30">
        <f>IF(Projeto8[[#This Row],[Concluída]]&lt;&gt;"",1,0)</f>
        <v>0</v>
      </c>
    </row>
    <row r="114" spans="2:20" collapsed="1" x14ac:dyDescent="0.25"/>
    <row r="115" spans="2:20" x14ac:dyDescent="0.25"/>
    <row r="116" spans="2:20" s="43" customFormat="1" ht="21" customHeight="1" x14ac:dyDescent="0.25">
      <c r="B116" s="38" t="s">
        <v>148</v>
      </c>
      <c r="C116" s="129" t="str">
        <f>'9'!$H$6</f>
        <v>&lt;Nome curto / apelido / código do projeto &gt;</v>
      </c>
      <c r="D116" s="129"/>
      <c r="E116" s="129"/>
      <c r="F116" s="129"/>
      <c r="G116" s="129"/>
      <c r="H116" s="68" t="s">
        <v>138</v>
      </c>
      <c r="I116" s="39">
        <f>'9'!$H$11</f>
        <v>0</v>
      </c>
      <c r="J116" s="40" t="s">
        <v>140</v>
      </c>
      <c r="K116" s="39">
        <f>'9'!$AB$11</f>
        <v>0</v>
      </c>
      <c r="L116" s="41"/>
      <c r="M116" s="42"/>
      <c r="O116" s="47" t="s">
        <v>150</v>
      </c>
      <c r="P116" s="46"/>
      <c r="Q116" s="46"/>
      <c r="R116" s="46"/>
      <c r="S116" s="46"/>
      <c r="T116" s="46"/>
    </row>
    <row r="117" spans="2:20" s="23" customFormat="1" ht="31.5" hidden="1" customHeight="1" outlineLevel="1" x14ac:dyDescent="0.2">
      <c r="B117" s="31" t="s">
        <v>37</v>
      </c>
      <c r="C117" s="31" t="s">
        <v>139</v>
      </c>
      <c r="D117" s="31" t="s">
        <v>137</v>
      </c>
      <c r="E117" s="31" t="s">
        <v>116</v>
      </c>
      <c r="F117" s="31" t="s">
        <v>117</v>
      </c>
      <c r="G117" s="31" t="s">
        <v>118</v>
      </c>
      <c r="H117" s="31" t="s">
        <v>119</v>
      </c>
      <c r="I117" s="31" t="s">
        <v>120</v>
      </c>
      <c r="J117" s="31" t="s">
        <v>121</v>
      </c>
      <c r="K117" s="32" t="s">
        <v>122</v>
      </c>
      <c r="L117" s="32" t="s">
        <v>123</v>
      </c>
      <c r="M117" s="32" t="s">
        <v>124</v>
      </c>
      <c r="N117" s="28" t="s">
        <v>125</v>
      </c>
      <c r="O117" s="33" t="s">
        <v>126</v>
      </c>
      <c r="P117" s="32" t="s">
        <v>127</v>
      </c>
      <c r="Q117" s="32" t="s">
        <v>128</v>
      </c>
      <c r="R117" s="32" t="s">
        <v>129</v>
      </c>
      <c r="S117" s="32" t="s">
        <v>130</v>
      </c>
      <c r="T117" s="32" t="s">
        <v>131</v>
      </c>
    </row>
    <row r="118" spans="2:20" s="22" customFormat="1" ht="15.75" hidden="1" outlineLevel="1" x14ac:dyDescent="0.25">
      <c r="B118" s="44" t="str">
        <f>'9'!$B$32</f>
        <v>des</v>
      </c>
      <c r="C118" s="45">
        <f>'9'!$Z$32</f>
        <v>43647</v>
      </c>
      <c r="D118" s="45">
        <f>'9'!$AD$32</f>
        <v>43661</v>
      </c>
      <c r="E118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>Atrasada</v>
      </c>
      <c r="F118" s="25" t="s">
        <v>248</v>
      </c>
      <c r="G118" s="25"/>
      <c r="H118" s="24"/>
      <c r="I118" s="25">
        <v>43647</v>
      </c>
      <c r="J118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18" s="27"/>
      <c r="L118" s="27"/>
      <c r="M118" s="27"/>
      <c r="N118" s="28"/>
      <c r="O118" s="34">
        <f t="shared" ref="O118:O127" ca="1" si="8">TODAY()</f>
        <v>43710</v>
      </c>
      <c r="P118" s="30">
        <f>IF(Projeto9[[#This Row],[Iniciada]]&lt;&gt;"",1,0)</f>
        <v>0</v>
      </c>
      <c r="Q118" s="30">
        <f ca="1">IF(Projeto9[[#This Row],[Já iniciada]]=1,0,IF(AND(Projeto9[[#This Row],[Data Início Prevista]]&lt;&gt;0,Projeto9[[#This Row],[éhoje]]&gt;Projeto9[[#This Row],[Data Início Prevista]]),1,0))</f>
        <v>1</v>
      </c>
      <c r="R118" s="30">
        <f ca="1"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1</v>
      </c>
      <c r="S118" s="29">
        <f>IF(Projeto9[[#This Row],[Data Repactuada]]&lt;&gt;"",1,0)</f>
        <v>0</v>
      </c>
      <c r="T118" s="30">
        <f>IF(Projeto9[[#This Row],[Concluída]]&lt;&gt;"",1,0)</f>
        <v>0</v>
      </c>
    </row>
    <row r="119" spans="2:20" s="22" customFormat="1" ht="15.75" hidden="1" outlineLevel="1" x14ac:dyDescent="0.25">
      <c r="B119" s="44">
        <f>'9'!$B$33</f>
        <v>0</v>
      </c>
      <c r="C119" s="45">
        <f>'9'!$Z$33</f>
        <v>0</v>
      </c>
      <c r="D119" s="45">
        <f>'9'!$AD$33</f>
        <v>0</v>
      </c>
      <c r="E119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19" s="25"/>
      <c r="G119" s="24"/>
      <c r="H119" s="24"/>
      <c r="I119" s="24"/>
      <c r="J119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19" s="27"/>
      <c r="L119" s="27"/>
      <c r="M119" s="27"/>
      <c r="N119" s="28"/>
      <c r="O119" s="34">
        <f t="shared" ca="1" si="8"/>
        <v>43710</v>
      </c>
      <c r="P119" s="30">
        <f>IF(Projeto9[[#This Row],[Iniciada]]&lt;&gt;"",1,0)</f>
        <v>0</v>
      </c>
      <c r="Q119" s="30">
        <f ca="1">IF(Projeto9[[#This Row],[Já iniciada]]=1,0,IF(AND(Projeto9[[#This Row],[Data Início Prevista]]&lt;&gt;0,Projeto9[[#This Row],[éhoje]]&gt;Projeto9[[#This Row],[Data Início Prevista]]),1,0))</f>
        <v>0</v>
      </c>
      <c r="R119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19" s="29">
        <f>IF(Projeto9[[#This Row],[Data Repactuada]]&lt;&gt;"",1,0)</f>
        <v>0</v>
      </c>
      <c r="T119" s="30">
        <f>IF(Projeto9[[#This Row],[Concluída]]&lt;&gt;"",1,0)</f>
        <v>0</v>
      </c>
    </row>
    <row r="120" spans="2:20" s="22" customFormat="1" ht="15.75" hidden="1" outlineLevel="1" x14ac:dyDescent="0.25">
      <c r="B120" s="44">
        <f>'9'!$B$34</f>
        <v>0</v>
      </c>
      <c r="C120" s="45">
        <f>'9'!$Z$34</f>
        <v>0</v>
      </c>
      <c r="D120" s="45">
        <f>'9'!$AD$34</f>
        <v>0</v>
      </c>
      <c r="E120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20" s="25"/>
      <c r="G120" s="24"/>
      <c r="H120" s="24"/>
      <c r="I120" s="24"/>
      <c r="J120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20" s="27"/>
      <c r="L120" s="27"/>
      <c r="M120" s="27"/>
      <c r="N120" s="28"/>
      <c r="O120" s="34">
        <f t="shared" ca="1" si="8"/>
        <v>43710</v>
      </c>
      <c r="P120" s="30">
        <f>IF(Projeto9[[#This Row],[Iniciada]]&lt;&gt;"",1,0)</f>
        <v>0</v>
      </c>
      <c r="Q120" s="30">
        <f ca="1">IF(Projeto9[[#This Row],[Já iniciada]]=1,0,IF(AND(Projeto9[[#This Row],[Data Início Prevista]]&lt;&gt;0,Projeto9[[#This Row],[éhoje]]&gt;Projeto9[[#This Row],[Data Início Prevista]]),1,0))</f>
        <v>0</v>
      </c>
      <c r="R120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20" s="29">
        <f>IF(Projeto9[[#This Row],[Data Repactuada]]&lt;&gt;"",1,0)</f>
        <v>0</v>
      </c>
      <c r="T120" s="30">
        <f>IF(Projeto9[[#This Row],[Concluída]]&lt;&gt;"",1,0)</f>
        <v>0</v>
      </c>
    </row>
    <row r="121" spans="2:20" s="22" customFormat="1" ht="15.75" hidden="1" outlineLevel="1" x14ac:dyDescent="0.25">
      <c r="B121" s="44">
        <f>'9'!$B$35</f>
        <v>0</v>
      </c>
      <c r="C121" s="45">
        <f>'9'!$Z$35</f>
        <v>0</v>
      </c>
      <c r="D121" s="45">
        <f>'9'!$AD$35</f>
        <v>0</v>
      </c>
      <c r="E121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21" s="25"/>
      <c r="G121" s="24"/>
      <c r="H121" s="24"/>
      <c r="I121" s="24"/>
      <c r="J121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21" s="27"/>
      <c r="L121" s="27"/>
      <c r="M121" s="27"/>
      <c r="N121" s="28"/>
      <c r="O121" s="34">
        <f t="shared" ca="1" si="8"/>
        <v>43710</v>
      </c>
      <c r="P121" s="30">
        <f>IF(Projeto9[[#This Row],[Iniciada]]&lt;&gt;"",1,0)</f>
        <v>0</v>
      </c>
      <c r="Q121" s="30">
        <f ca="1">IF(Projeto9[[#This Row],[Já iniciada]]=1,0,IF(AND(Projeto9[[#This Row],[Data Início Prevista]]&lt;&gt;0,Projeto9[[#This Row],[éhoje]]&gt;Projeto9[[#This Row],[Data Início Prevista]]),1,0))</f>
        <v>0</v>
      </c>
      <c r="R121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21" s="29">
        <f>IF(Projeto9[[#This Row],[Data Repactuada]]&lt;&gt;"",1,0)</f>
        <v>0</v>
      </c>
      <c r="T121" s="30">
        <f>IF(Projeto9[[#This Row],[Concluída]]&lt;&gt;"",1,0)</f>
        <v>0</v>
      </c>
    </row>
    <row r="122" spans="2:20" s="22" customFormat="1" ht="15.75" hidden="1" outlineLevel="1" x14ac:dyDescent="0.25">
      <c r="B122" s="44">
        <f>'9'!$B$36</f>
        <v>0</v>
      </c>
      <c r="C122" s="45">
        <f>'9'!$Z$36</f>
        <v>0</v>
      </c>
      <c r="D122" s="45">
        <f>'9'!$AD$36</f>
        <v>0</v>
      </c>
      <c r="E122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22" s="25"/>
      <c r="G122" s="24"/>
      <c r="H122" s="24"/>
      <c r="I122" s="24"/>
      <c r="J122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22" s="27"/>
      <c r="L122" s="27"/>
      <c r="M122" s="27"/>
      <c r="N122" s="28"/>
      <c r="O122" s="34">
        <f t="shared" ca="1" si="8"/>
        <v>43710</v>
      </c>
      <c r="P122" s="30">
        <f>IF(Projeto9[[#This Row],[Iniciada]]&lt;&gt;"",1,0)</f>
        <v>0</v>
      </c>
      <c r="Q122" s="30">
        <f ca="1">IF(Projeto9[[#This Row],[Já iniciada]]=1,0,IF(AND(Projeto9[[#This Row],[Data Início Prevista]]&lt;&gt;0,Projeto9[[#This Row],[éhoje]]&gt;Projeto9[[#This Row],[Data Início Prevista]]),1,0))</f>
        <v>0</v>
      </c>
      <c r="R122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22" s="29">
        <f>IF(Projeto9[[#This Row],[Data Repactuada]]&lt;&gt;"",1,0)</f>
        <v>0</v>
      </c>
      <c r="T122" s="30">
        <f>IF(Projeto9[[#This Row],[Concluída]]&lt;&gt;"",1,0)</f>
        <v>0</v>
      </c>
    </row>
    <row r="123" spans="2:20" s="22" customFormat="1" ht="15.75" hidden="1" outlineLevel="1" x14ac:dyDescent="0.25">
      <c r="B123" s="44">
        <f>'9'!$B$37</f>
        <v>0</v>
      </c>
      <c r="C123" s="45">
        <f>'9'!$Z$37</f>
        <v>0</v>
      </c>
      <c r="D123" s="45">
        <f>'9'!$AD$37</f>
        <v>0</v>
      </c>
      <c r="E123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23" s="25"/>
      <c r="G123" s="24"/>
      <c r="H123" s="24"/>
      <c r="I123" s="24"/>
      <c r="J123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23" s="27"/>
      <c r="L123" s="27"/>
      <c r="M123" s="27"/>
      <c r="N123" s="28"/>
      <c r="O123" s="34">
        <f t="shared" ca="1" si="8"/>
        <v>43710</v>
      </c>
      <c r="P123" s="30">
        <f>IF(Projeto9[[#This Row],[Iniciada]]&lt;&gt;"",1,0)</f>
        <v>0</v>
      </c>
      <c r="Q123" s="30">
        <f ca="1">IF(Projeto9[[#This Row],[Já iniciada]]=1,0,IF(AND(Projeto9[[#This Row],[Data Início Prevista]]&lt;&gt;0,Projeto9[[#This Row],[éhoje]]&gt;Projeto9[[#This Row],[Data Início Prevista]]),1,0))</f>
        <v>0</v>
      </c>
      <c r="R123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23" s="29">
        <f>IF(Projeto9[[#This Row],[Data Repactuada]]&lt;&gt;"",1,0)</f>
        <v>0</v>
      </c>
      <c r="T123" s="30">
        <f>IF(Projeto9[[#This Row],[Concluída]]&lt;&gt;"",1,0)</f>
        <v>0</v>
      </c>
    </row>
    <row r="124" spans="2:20" s="22" customFormat="1" ht="15.75" hidden="1" outlineLevel="1" x14ac:dyDescent="0.25">
      <c r="B124" s="44">
        <f>'9'!$B$38</f>
        <v>0</v>
      </c>
      <c r="C124" s="45">
        <f>'9'!$Z$38</f>
        <v>0</v>
      </c>
      <c r="D124" s="45">
        <f>'9'!$AD$38</f>
        <v>0</v>
      </c>
      <c r="E124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24" s="25"/>
      <c r="G124" s="24"/>
      <c r="H124" s="24"/>
      <c r="I124" s="24"/>
      <c r="J124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24" s="27"/>
      <c r="L124" s="27"/>
      <c r="M124" s="27"/>
      <c r="N124" s="28"/>
      <c r="O124" s="34">
        <f t="shared" ca="1" si="8"/>
        <v>43710</v>
      </c>
      <c r="P124" s="30">
        <f>IF(Projeto9[[#This Row],[Iniciada]]&lt;&gt;"",1,0)</f>
        <v>0</v>
      </c>
      <c r="Q124" s="30">
        <f ca="1">IF(Projeto9[[#This Row],[Já iniciada]]=1,0,IF(AND(Projeto9[[#This Row],[Data Início Prevista]]&lt;&gt;0,Projeto9[[#This Row],[éhoje]]&gt;Projeto9[[#This Row],[Data Início Prevista]]),1,0))</f>
        <v>0</v>
      </c>
      <c r="R124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24" s="29">
        <f>IF(Projeto9[[#This Row],[Data Repactuada]]&lt;&gt;"",1,0)</f>
        <v>0</v>
      </c>
      <c r="T124" s="30">
        <f>IF(Projeto9[[#This Row],[Concluída]]&lt;&gt;"",1,0)</f>
        <v>0</v>
      </c>
    </row>
    <row r="125" spans="2:20" s="22" customFormat="1" ht="15.75" hidden="1" outlineLevel="1" x14ac:dyDescent="0.25">
      <c r="B125" s="44">
        <f>'9'!$B$39</f>
        <v>0</v>
      </c>
      <c r="C125" s="45">
        <f>'9'!$Z$39</f>
        <v>0</v>
      </c>
      <c r="D125" s="45">
        <f>'9'!$AD$39</f>
        <v>0</v>
      </c>
      <c r="E125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25" s="25"/>
      <c r="G125" s="24"/>
      <c r="H125" s="24"/>
      <c r="I125" s="24"/>
      <c r="J125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25" s="27"/>
      <c r="L125" s="27"/>
      <c r="M125" s="27"/>
      <c r="N125" s="28"/>
      <c r="O125" s="34">
        <f t="shared" ca="1" si="8"/>
        <v>43710</v>
      </c>
      <c r="P125" s="30">
        <f>IF(Projeto9[[#This Row],[Iniciada]]&lt;&gt;"",1,0)</f>
        <v>0</v>
      </c>
      <c r="Q125" s="30">
        <f ca="1">IF(Projeto9[[#This Row],[Já iniciada]]=1,0,IF(AND(Projeto9[[#This Row],[Data Início Prevista]]&lt;&gt;0,Projeto9[[#This Row],[éhoje]]&gt;Projeto9[[#This Row],[Data Início Prevista]]),1,0))</f>
        <v>0</v>
      </c>
      <c r="R125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25" s="29">
        <f>IF(Projeto9[[#This Row],[Data Repactuada]]&lt;&gt;"",1,0)</f>
        <v>0</v>
      </c>
      <c r="T125" s="30">
        <f>IF(Projeto9[[#This Row],[Concluída]]&lt;&gt;"",1,0)</f>
        <v>0</v>
      </c>
    </row>
    <row r="126" spans="2:20" s="22" customFormat="1" ht="15.75" hidden="1" outlineLevel="1" x14ac:dyDescent="0.25">
      <c r="B126" s="44">
        <f>'9'!$B$40</f>
        <v>0</v>
      </c>
      <c r="C126" s="45">
        <f>'9'!$Z$40</f>
        <v>0</v>
      </c>
      <c r="D126" s="45">
        <f>'9'!$AD$40</f>
        <v>0</v>
      </c>
      <c r="E126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26" s="25"/>
      <c r="G126" s="24"/>
      <c r="H126" s="24"/>
      <c r="I126" s="24"/>
      <c r="J126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26" s="27"/>
      <c r="L126" s="27"/>
      <c r="M126" s="27"/>
      <c r="N126" s="28"/>
      <c r="O126" s="34">
        <f t="shared" ca="1" si="8"/>
        <v>43710</v>
      </c>
      <c r="P126" s="30">
        <f>IF(Projeto9[[#This Row],[Iniciada]]&lt;&gt;"",1,0)</f>
        <v>0</v>
      </c>
      <c r="Q126" s="30">
        <f ca="1">IF(Projeto9[[#This Row],[Já iniciada]]=1,0,IF(AND(Projeto9[[#This Row],[Data Início Prevista]]&lt;&gt;0,Projeto9[[#This Row],[éhoje]]&gt;Projeto9[[#This Row],[Data Início Prevista]]),1,0))</f>
        <v>0</v>
      </c>
      <c r="R126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26" s="29">
        <f>IF(Projeto9[[#This Row],[Data Repactuada]]&lt;&gt;"",1,0)</f>
        <v>0</v>
      </c>
      <c r="T126" s="30">
        <f>IF(Projeto9[[#This Row],[Concluída]]&lt;&gt;"",1,0)</f>
        <v>0</v>
      </c>
    </row>
    <row r="127" spans="2:20" s="22" customFormat="1" ht="15.75" hidden="1" outlineLevel="1" x14ac:dyDescent="0.25">
      <c r="B127" s="44">
        <f>'9'!$B$41</f>
        <v>0</v>
      </c>
      <c r="C127" s="45">
        <f>'9'!$Z$41</f>
        <v>0</v>
      </c>
      <c r="D127" s="45">
        <f>'9'!$AD$41</f>
        <v>0</v>
      </c>
      <c r="E127" s="26" t="str">
        <f ca="1">IF(Projeto9[[#This Row],[Data Início Prevista]]&lt;&gt;"",IF(Projeto9[[#This Row],[Concluída]]&lt;&gt;"","Concluída",IF(Projeto9[[#This Row],[atraso inicio]]=1,"Atrasada",IF(Projeto9[[#This Row],[atraso FIM]]=1,"Atrasada",IF(Projeto9[[#This Row],[Cancelada]]&lt;&gt;"","Cancelada",IF(Projeto9[[#This Row],[Iniciada]]&lt;&gt;"","Iniciada",""))))))</f>
        <v/>
      </c>
      <c r="F127" s="25"/>
      <c r="G127" s="24"/>
      <c r="H127" s="24"/>
      <c r="I127" s="24"/>
      <c r="J127" s="37" t="str">
        <f ca="1">IF(Projeto9[[#This Row],[Status]]&lt;&gt;"Concluída","",IF(Projeto9[[#This Row],[Data Fim Real da Fase]]="","",IF(AND(Projeto9[[#This Row],[Status]]="Concluída",Projeto9[[#This Row],[Data Fim Real da Fase]]&lt;&gt;"",Projeto9[[#This Row],[Data Repactuada]]&lt;&gt;""),Projeto9[[#This Row],[Data Fim Real da Fase]]-Projeto9[[#This Row],[Data Repactuada]],Projeto9[[#This Row],[Data Fim Real da Fase]]-Projeto9[[#This Row],[Data Fim Prevista]])))</f>
        <v/>
      </c>
      <c r="K127" s="27"/>
      <c r="L127" s="27"/>
      <c r="M127" s="27"/>
      <c r="N127" s="28"/>
      <c r="O127" s="34">
        <f t="shared" ca="1" si="8"/>
        <v>43710</v>
      </c>
      <c r="P127" s="30">
        <f>IF(Projeto9[[#This Row],[Iniciada]]&lt;&gt;"",1,0)</f>
        <v>0</v>
      </c>
      <c r="Q127" s="30">
        <f ca="1">IF(Projeto9[[#This Row],[Já iniciada]]=1,0,IF(AND(Projeto9[[#This Row],[Data Início Prevista]]&lt;&gt;0,Projeto9[[#This Row],[éhoje]]&gt;Projeto9[[#This Row],[Data Início Prevista]]),1,0))</f>
        <v>0</v>
      </c>
      <c r="R127" s="30">
        <f>IF(Projeto9[[#This Row],[Concluido]]=1,0,IF(Projeto9[[#This Row],[Cancelada]]&lt;&gt;"",0,IF(Projeto9[[#This Row],[Data Fim Prevista]]=0,0,IF(Projeto9[[#This Row],[Repact]]=1,IF(Projeto9[[#This Row],[éhoje]]&lt;Projeto9[[#This Row],[Data Repactuada]],0,1),IF(Projeto9[[#This Row],[éhoje]]&gt;Projeto9[[#This Row],[Data Fim Prevista]],1,0)))))</f>
        <v>0</v>
      </c>
      <c r="S127" s="29">
        <f>IF(Projeto9[[#This Row],[Data Repactuada]]&lt;&gt;"",1,0)</f>
        <v>0</v>
      </c>
      <c r="T127" s="30">
        <f>IF(Projeto9[[#This Row],[Concluída]]&lt;&gt;"",1,0)</f>
        <v>0</v>
      </c>
    </row>
    <row r="128" spans="2:20" collapsed="1" x14ac:dyDescent="0.25"/>
    <row r="129" spans="2:20" x14ac:dyDescent="0.25"/>
    <row r="130" spans="2:20" s="43" customFormat="1" ht="21" customHeight="1" x14ac:dyDescent="0.25">
      <c r="B130" s="38" t="s">
        <v>149</v>
      </c>
      <c r="C130" s="129" t="str">
        <f>'10'!$H$6</f>
        <v>&lt;Nome curto / apelido / código do projeto &gt;</v>
      </c>
      <c r="D130" s="129"/>
      <c r="E130" s="129"/>
      <c r="F130" s="129"/>
      <c r="G130" s="129"/>
      <c r="H130" s="68" t="s">
        <v>138</v>
      </c>
      <c r="I130" s="39">
        <f>'10'!$H$11</f>
        <v>0</v>
      </c>
      <c r="J130" s="40" t="s">
        <v>140</v>
      </c>
      <c r="K130" s="39">
        <f>'10'!$AB$11</f>
        <v>0</v>
      </c>
      <c r="L130" s="41"/>
      <c r="M130" s="42"/>
      <c r="O130" s="47" t="s">
        <v>150</v>
      </c>
      <c r="P130" s="46"/>
      <c r="Q130" s="46"/>
      <c r="R130" s="46"/>
      <c r="S130" s="46"/>
      <c r="T130" s="46"/>
    </row>
    <row r="131" spans="2:20" s="23" customFormat="1" ht="31.5" hidden="1" customHeight="1" outlineLevel="1" x14ac:dyDescent="0.2">
      <c r="B131" s="31" t="s">
        <v>37</v>
      </c>
      <c r="C131" s="31" t="s">
        <v>139</v>
      </c>
      <c r="D131" s="31" t="s">
        <v>137</v>
      </c>
      <c r="E131" s="31" t="s">
        <v>116</v>
      </c>
      <c r="F131" s="31" t="s">
        <v>117</v>
      </c>
      <c r="G131" s="31" t="s">
        <v>118</v>
      </c>
      <c r="H131" s="31" t="s">
        <v>119</v>
      </c>
      <c r="I131" s="31" t="s">
        <v>120</v>
      </c>
      <c r="J131" s="31" t="s">
        <v>121</v>
      </c>
      <c r="K131" s="32" t="s">
        <v>122</v>
      </c>
      <c r="L131" s="32" t="s">
        <v>123</v>
      </c>
      <c r="M131" s="32" t="s">
        <v>124</v>
      </c>
      <c r="N131" s="28" t="s">
        <v>125</v>
      </c>
      <c r="O131" s="33" t="s">
        <v>126</v>
      </c>
      <c r="P131" s="32" t="s">
        <v>127</v>
      </c>
      <c r="Q131" s="32" t="s">
        <v>128</v>
      </c>
      <c r="R131" s="32" t="s">
        <v>129</v>
      </c>
      <c r="S131" s="32" t="s">
        <v>130</v>
      </c>
      <c r="T131" s="32" t="s">
        <v>131</v>
      </c>
    </row>
    <row r="132" spans="2:20" s="22" customFormat="1" ht="15.75" hidden="1" outlineLevel="1" x14ac:dyDescent="0.25">
      <c r="B132" s="44">
        <f>'10'!$B$32</f>
        <v>0</v>
      </c>
      <c r="C132" s="45">
        <f>'10'!$Z$32</f>
        <v>0</v>
      </c>
      <c r="D132" s="45">
        <f>'10'!$AD$32</f>
        <v>0</v>
      </c>
      <c r="E132" s="26" t="str">
        <f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>Concluída</v>
      </c>
      <c r="F132" s="25" t="s">
        <v>248</v>
      </c>
      <c r="G132" s="25"/>
      <c r="H132" s="24"/>
      <c r="I132" s="25">
        <v>43647</v>
      </c>
      <c r="J132" s="37">
        <f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>43647</v>
      </c>
      <c r="K132" s="27">
        <v>43528</v>
      </c>
      <c r="L132" s="27">
        <v>43497</v>
      </c>
      <c r="M132" s="27"/>
      <c r="N132" s="28"/>
      <c r="O132" s="34">
        <f t="shared" ref="O132:O141" ca="1" si="9">TODAY()</f>
        <v>43710</v>
      </c>
      <c r="P132" s="30">
        <f>IF(Projeto10[[#This Row],[Iniciada]]&lt;&gt;"",1,0)</f>
        <v>1</v>
      </c>
      <c r="Q132" s="30">
        <f>IF(Projeto10[[#This Row],[Já iniciada]]=1,0,IF(AND(Projeto10[[#This Row],[Data Início Prevista]]&lt;&gt;0,Projeto10[[#This Row],[éhoje]]&gt;Projeto10[[#This Row],[Data Início Prevista]]),1,0))</f>
        <v>0</v>
      </c>
      <c r="R132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32" s="29">
        <f>IF(Projeto10[[#This Row],[Data Repactuada]]&lt;&gt;"",1,0)</f>
        <v>0</v>
      </c>
      <c r="T132" s="30">
        <f>IF(Projeto10[[#This Row],[Concluída]]&lt;&gt;"",1,0)</f>
        <v>1</v>
      </c>
    </row>
    <row r="133" spans="2:20" s="22" customFormat="1" ht="15.75" hidden="1" outlineLevel="1" x14ac:dyDescent="0.25">
      <c r="B133" s="44">
        <f>'10'!$B$33</f>
        <v>0</v>
      </c>
      <c r="C133" s="45">
        <f>'10'!$Z$33</f>
        <v>0</v>
      </c>
      <c r="D133" s="45">
        <f>'10'!$AD$33</f>
        <v>0</v>
      </c>
      <c r="E133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33" s="25"/>
      <c r="G133" s="24"/>
      <c r="H133" s="24"/>
      <c r="I133" s="24"/>
      <c r="J133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33" s="27"/>
      <c r="L133" s="27"/>
      <c r="M133" s="27"/>
      <c r="N133" s="28"/>
      <c r="O133" s="34">
        <f t="shared" ca="1" si="9"/>
        <v>43710</v>
      </c>
      <c r="P133" s="30">
        <f>IF(Projeto10[[#This Row],[Iniciada]]&lt;&gt;"",1,0)</f>
        <v>0</v>
      </c>
      <c r="Q133" s="30">
        <f ca="1">IF(Projeto10[[#This Row],[Já iniciada]]=1,0,IF(AND(Projeto10[[#This Row],[Data Início Prevista]]&lt;&gt;0,Projeto10[[#This Row],[éhoje]]&gt;Projeto10[[#This Row],[Data Início Prevista]]),1,0))</f>
        <v>0</v>
      </c>
      <c r="R133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33" s="29">
        <f>IF(Projeto10[[#This Row],[Data Repactuada]]&lt;&gt;"",1,0)</f>
        <v>0</v>
      </c>
      <c r="T133" s="30">
        <f>IF(Projeto10[[#This Row],[Concluída]]&lt;&gt;"",1,0)</f>
        <v>0</v>
      </c>
    </row>
    <row r="134" spans="2:20" s="22" customFormat="1" ht="15.75" hidden="1" outlineLevel="1" x14ac:dyDescent="0.25">
      <c r="B134" s="44">
        <f>'10'!$B$34</f>
        <v>0</v>
      </c>
      <c r="C134" s="45">
        <f>'10'!$Z$34</f>
        <v>0</v>
      </c>
      <c r="D134" s="45">
        <f>'10'!$AD$34</f>
        <v>0</v>
      </c>
      <c r="E134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34" s="25"/>
      <c r="G134" s="24"/>
      <c r="H134" s="24"/>
      <c r="I134" s="24"/>
      <c r="J134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34" s="27"/>
      <c r="L134" s="27"/>
      <c r="M134" s="27"/>
      <c r="N134" s="28"/>
      <c r="O134" s="34">
        <f t="shared" ca="1" si="9"/>
        <v>43710</v>
      </c>
      <c r="P134" s="30">
        <f>IF(Projeto10[[#This Row],[Iniciada]]&lt;&gt;"",1,0)</f>
        <v>0</v>
      </c>
      <c r="Q134" s="30">
        <f ca="1">IF(Projeto10[[#This Row],[Já iniciada]]=1,0,IF(AND(Projeto10[[#This Row],[Data Início Prevista]]&lt;&gt;0,Projeto10[[#This Row],[éhoje]]&gt;Projeto10[[#This Row],[Data Início Prevista]]),1,0))</f>
        <v>0</v>
      </c>
      <c r="R134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34" s="29">
        <f>IF(Projeto10[[#This Row],[Data Repactuada]]&lt;&gt;"",1,0)</f>
        <v>0</v>
      </c>
      <c r="T134" s="30">
        <f>IF(Projeto10[[#This Row],[Concluída]]&lt;&gt;"",1,0)</f>
        <v>0</v>
      </c>
    </row>
    <row r="135" spans="2:20" s="22" customFormat="1" ht="15.75" hidden="1" outlineLevel="1" x14ac:dyDescent="0.25">
      <c r="B135" s="44">
        <f>'10'!$B$35</f>
        <v>0</v>
      </c>
      <c r="C135" s="45">
        <f>'10'!$Z$35</f>
        <v>0</v>
      </c>
      <c r="D135" s="45">
        <f>'10'!$AD$35</f>
        <v>0</v>
      </c>
      <c r="E135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35" s="25"/>
      <c r="G135" s="24"/>
      <c r="H135" s="24"/>
      <c r="I135" s="24"/>
      <c r="J135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35" s="27"/>
      <c r="L135" s="27"/>
      <c r="M135" s="27"/>
      <c r="N135" s="28"/>
      <c r="O135" s="34">
        <f t="shared" ca="1" si="9"/>
        <v>43710</v>
      </c>
      <c r="P135" s="30">
        <f>IF(Projeto10[[#This Row],[Iniciada]]&lt;&gt;"",1,0)</f>
        <v>0</v>
      </c>
      <c r="Q135" s="30">
        <f ca="1">IF(Projeto10[[#This Row],[Já iniciada]]=1,0,IF(AND(Projeto10[[#This Row],[Data Início Prevista]]&lt;&gt;0,Projeto10[[#This Row],[éhoje]]&gt;Projeto10[[#This Row],[Data Início Prevista]]),1,0))</f>
        <v>0</v>
      </c>
      <c r="R135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35" s="29">
        <f>IF(Projeto10[[#This Row],[Data Repactuada]]&lt;&gt;"",1,0)</f>
        <v>0</v>
      </c>
      <c r="T135" s="30">
        <f>IF(Projeto10[[#This Row],[Concluída]]&lt;&gt;"",1,0)</f>
        <v>0</v>
      </c>
    </row>
    <row r="136" spans="2:20" s="22" customFormat="1" ht="15.75" hidden="1" outlineLevel="1" x14ac:dyDescent="0.25">
      <c r="B136" s="44">
        <f>'10'!$B$36</f>
        <v>0</v>
      </c>
      <c r="C136" s="45">
        <f>'10'!$Z$36</f>
        <v>0</v>
      </c>
      <c r="D136" s="45">
        <f>'10'!$AD$36</f>
        <v>0</v>
      </c>
      <c r="E136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36" s="25"/>
      <c r="G136" s="24"/>
      <c r="H136" s="24"/>
      <c r="I136" s="24"/>
      <c r="J136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36" s="27"/>
      <c r="L136" s="27"/>
      <c r="M136" s="27"/>
      <c r="N136" s="28"/>
      <c r="O136" s="34">
        <f t="shared" ca="1" si="9"/>
        <v>43710</v>
      </c>
      <c r="P136" s="30">
        <f>IF(Projeto10[[#This Row],[Iniciada]]&lt;&gt;"",1,0)</f>
        <v>0</v>
      </c>
      <c r="Q136" s="30">
        <f ca="1">IF(Projeto10[[#This Row],[Já iniciada]]=1,0,IF(AND(Projeto10[[#This Row],[Data Início Prevista]]&lt;&gt;0,Projeto10[[#This Row],[éhoje]]&gt;Projeto10[[#This Row],[Data Início Prevista]]),1,0))</f>
        <v>0</v>
      </c>
      <c r="R136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36" s="29">
        <f>IF(Projeto10[[#This Row],[Data Repactuada]]&lt;&gt;"",1,0)</f>
        <v>0</v>
      </c>
      <c r="T136" s="30">
        <f>IF(Projeto10[[#This Row],[Concluída]]&lt;&gt;"",1,0)</f>
        <v>0</v>
      </c>
    </row>
    <row r="137" spans="2:20" s="22" customFormat="1" ht="15.75" hidden="1" outlineLevel="1" x14ac:dyDescent="0.25">
      <c r="B137" s="44">
        <f>'10'!$B$37</f>
        <v>0</v>
      </c>
      <c r="C137" s="45">
        <f>'10'!$Z$37</f>
        <v>0</v>
      </c>
      <c r="D137" s="45">
        <f>'10'!$AD$37</f>
        <v>0</v>
      </c>
      <c r="E137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37" s="25"/>
      <c r="G137" s="24"/>
      <c r="H137" s="24"/>
      <c r="I137" s="24"/>
      <c r="J137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37" s="27"/>
      <c r="L137" s="27"/>
      <c r="M137" s="27"/>
      <c r="N137" s="28"/>
      <c r="O137" s="34">
        <f t="shared" ca="1" si="9"/>
        <v>43710</v>
      </c>
      <c r="P137" s="30">
        <f>IF(Projeto10[[#This Row],[Iniciada]]&lt;&gt;"",1,0)</f>
        <v>0</v>
      </c>
      <c r="Q137" s="30">
        <f ca="1">IF(Projeto10[[#This Row],[Já iniciada]]=1,0,IF(AND(Projeto10[[#This Row],[Data Início Prevista]]&lt;&gt;0,Projeto10[[#This Row],[éhoje]]&gt;Projeto10[[#This Row],[Data Início Prevista]]),1,0))</f>
        <v>0</v>
      </c>
      <c r="R137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37" s="29">
        <f>IF(Projeto10[[#This Row],[Data Repactuada]]&lt;&gt;"",1,0)</f>
        <v>0</v>
      </c>
      <c r="T137" s="30">
        <f>IF(Projeto10[[#This Row],[Concluída]]&lt;&gt;"",1,0)</f>
        <v>0</v>
      </c>
    </row>
    <row r="138" spans="2:20" s="22" customFormat="1" ht="15.75" hidden="1" outlineLevel="1" x14ac:dyDescent="0.25">
      <c r="B138" s="44">
        <f>'10'!$B$38</f>
        <v>0</v>
      </c>
      <c r="C138" s="45">
        <f>'10'!$Z$38</f>
        <v>0</v>
      </c>
      <c r="D138" s="45">
        <f>'10'!$AD$38</f>
        <v>0</v>
      </c>
      <c r="E138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38" s="25"/>
      <c r="G138" s="24"/>
      <c r="H138" s="24"/>
      <c r="I138" s="24"/>
      <c r="J138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38" s="27"/>
      <c r="L138" s="27"/>
      <c r="M138" s="27"/>
      <c r="N138" s="28"/>
      <c r="O138" s="34">
        <f t="shared" ca="1" si="9"/>
        <v>43710</v>
      </c>
      <c r="P138" s="30">
        <f>IF(Projeto10[[#This Row],[Iniciada]]&lt;&gt;"",1,0)</f>
        <v>0</v>
      </c>
      <c r="Q138" s="30">
        <f ca="1">IF(Projeto10[[#This Row],[Já iniciada]]=1,0,IF(AND(Projeto10[[#This Row],[Data Início Prevista]]&lt;&gt;0,Projeto10[[#This Row],[éhoje]]&gt;Projeto10[[#This Row],[Data Início Prevista]]),1,0))</f>
        <v>0</v>
      </c>
      <c r="R138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38" s="29">
        <f>IF(Projeto10[[#This Row],[Data Repactuada]]&lt;&gt;"",1,0)</f>
        <v>0</v>
      </c>
      <c r="T138" s="30">
        <f>IF(Projeto10[[#This Row],[Concluída]]&lt;&gt;"",1,0)</f>
        <v>0</v>
      </c>
    </row>
    <row r="139" spans="2:20" s="22" customFormat="1" ht="15.75" hidden="1" outlineLevel="1" x14ac:dyDescent="0.25">
      <c r="B139" s="44">
        <f>'10'!$B$39</f>
        <v>0</v>
      </c>
      <c r="C139" s="45">
        <f>'10'!$Z$39</f>
        <v>0</v>
      </c>
      <c r="D139" s="45">
        <f>'10'!$AD$39</f>
        <v>0</v>
      </c>
      <c r="E139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39" s="25"/>
      <c r="G139" s="24"/>
      <c r="H139" s="24"/>
      <c r="I139" s="24"/>
      <c r="J139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39" s="27"/>
      <c r="L139" s="27"/>
      <c r="M139" s="27"/>
      <c r="N139" s="28"/>
      <c r="O139" s="34">
        <f t="shared" ca="1" si="9"/>
        <v>43710</v>
      </c>
      <c r="P139" s="30">
        <f>IF(Projeto10[[#This Row],[Iniciada]]&lt;&gt;"",1,0)</f>
        <v>0</v>
      </c>
      <c r="Q139" s="30">
        <f ca="1">IF(Projeto10[[#This Row],[Já iniciada]]=1,0,IF(AND(Projeto10[[#This Row],[Data Início Prevista]]&lt;&gt;0,Projeto10[[#This Row],[éhoje]]&gt;Projeto10[[#This Row],[Data Início Prevista]]),1,0))</f>
        <v>0</v>
      </c>
      <c r="R139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39" s="29">
        <f>IF(Projeto10[[#This Row],[Data Repactuada]]&lt;&gt;"",1,0)</f>
        <v>0</v>
      </c>
      <c r="T139" s="30">
        <f>IF(Projeto10[[#This Row],[Concluída]]&lt;&gt;"",1,0)</f>
        <v>0</v>
      </c>
    </row>
    <row r="140" spans="2:20" s="22" customFormat="1" ht="15.75" hidden="1" outlineLevel="1" x14ac:dyDescent="0.25">
      <c r="B140" s="44">
        <f>'10'!$B$40</f>
        <v>0</v>
      </c>
      <c r="C140" s="45">
        <f>'10'!$Z$40</f>
        <v>0</v>
      </c>
      <c r="D140" s="45">
        <f>'10'!$AD$40</f>
        <v>0</v>
      </c>
      <c r="E140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40" s="25"/>
      <c r="G140" s="24"/>
      <c r="H140" s="24"/>
      <c r="I140" s="24"/>
      <c r="J140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40" s="27"/>
      <c r="L140" s="27"/>
      <c r="M140" s="27"/>
      <c r="N140" s="28"/>
      <c r="O140" s="34">
        <f t="shared" ca="1" si="9"/>
        <v>43710</v>
      </c>
      <c r="P140" s="30">
        <f>IF(Projeto10[[#This Row],[Iniciada]]&lt;&gt;"",1,0)</f>
        <v>0</v>
      </c>
      <c r="Q140" s="30">
        <f ca="1">IF(Projeto10[[#This Row],[Já iniciada]]=1,0,IF(AND(Projeto10[[#This Row],[Data Início Prevista]]&lt;&gt;0,Projeto10[[#This Row],[éhoje]]&gt;Projeto10[[#This Row],[Data Início Prevista]]),1,0))</f>
        <v>0</v>
      </c>
      <c r="R140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40" s="29">
        <f>IF(Projeto10[[#This Row],[Data Repactuada]]&lt;&gt;"",1,0)</f>
        <v>0</v>
      </c>
      <c r="T140" s="30">
        <f>IF(Projeto10[[#This Row],[Concluída]]&lt;&gt;"",1,0)</f>
        <v>0</v>
      </c>
    </row>
    <row r="141" spans="2:20" s="22" customFormat="1" ht="15.75" hidden="1" outlineLevel="1" x14ac:dyDescent="0.25">
      <c r="B141" s="44">
        <f>'10'!$B$41</f>
        <v>0</v>
      </c>
      <c r="C141" s="45">
        <f>'10'!$Z$41</f>
        <v>0</v>
      </c>
      <c r="D141" s="45">
        <f>'10'!$AD$41</f>
        <v>0</v>
      </c>
      <c r="E141" s="26" t="str">
        <f ca="1">IF(Projeto10[[#This Row],[Data Início Prevista]]&lt;&gt;"",IF(Projeto10[[#This Row],[Concluída]]&lt;&gt;"","Concluída",IF(Projeto10[[#This Row],[atraso inicio]]=1,"Atrasada",IF(Projeto10[[#This Row],[atraso FIM]]=1,"Atrasada",IF(Projeto10[[#This Row],[Cancelada]]&lt;&gt;"","Cancelada",IF(Projeto10[[#This Row],[Iniciada]]&lt;&gt;"","Iniciada",""))))))</f>
        <v/>
      </c>
      <c r="F141" s="25"/>
      <c r="G141" s="24"/>
      <c r="H141" s="24"/>
      <c r="I141" s="24"/>
      <c r="J141" s="37" t="str">
        <f ca="1">IF(Projeto10[[#This Row],[Status]]&lt;&gt;"Concluída","",IF(Projeto10[[#This Row],[Data Fim Real da Fase]]="","",IF(AND(Projeto10[[#This Row],[Status]]="Concluída",Projeto10[[#This Row],[Data Fim Real da Fase]]&lt;&gt;"",Projeto10[[#This Row],[Data Repactuada]]&lt;&gt;""),Projeto10[[#This Row],[Data Fim Real da Fase]]-Projeto10[[#This Row],[Data Repactuada]],Projeto10[[#This Row],[Data Fim Real da Fase]]-Projeto10[[#This Row],[Data Fim Prevista]])))</f>
        <v/>
      </c>
      <c r="K141" s="27"/>
      <c r="L141" s="27"/>
      <c r="M141" s="27"/>
      <c r="N141" s="28"/>
      <c r="O141" s="34">
        <f t="shared" ca="1" si="9"/>
        <v>43710</v>
      </c>
      <c r="P141" s="30">
        <f>IF(Projeto10[[#This Row],[Iniciada]]&lt;&gt;"",1,0)</f>
        <v>0</v>
      </c>
      <c r="Q141" s="30">
        <f ca="1">IF(Projeto10[[#This Row],[Já iniciada]]=1,0,IF(AND(Projeto10[[#This Row],[Data Início Prevista]]&lt;&gt;0,Projeto10[[#This Row],[éhoje]]&gt;Projeto10[[#This Row],[Data Início Prevista]]),1,0))</f>
        <v>0</v>
      </c>
      <c r="R141" s="30">
        <f>IF(Projeto10[[#This Row],[Concluido]]=1,0,IF(Projeto10[[#This Row],[Cancelada]]&lt;&gt;"",0,IF(Projeto10[[#This Row],[Data Fim Prevista]]=0,0,IF(Projeto10[[#This Row],[Repact]]=1,IF(Projeto10[[#This Row],[éhoje]]&lt;Projeto10[[#This Row],[Data Repactuada]],0,1),IF(Projeto10[[#This Row],[éhoje]]&gt;Projeto10[[#This Row],[Data Fim Prevista]],1,0)))))</f>
        <v>0</v>
      </c>
      <c r="S141" s="29">
        <f>IF(Projeto10[[#This Row],[Data Repactuada]]&lt;&gt;"",1,0)</f>
        <v>0</v>
      </c>
      <c r="T141" s="30">
        <f>IF(Projeto10[[#This Row],[Concluída]]&lt;&gt;"",1,0)</f>
        <v>0</v>
      </c>
    </row>
    <row r="142" spans="2:20" collapsed="1" x14ac:dyDescent="0.25"/>
    <row r="143" spans="2:20" x14ac:dyDescent="0.25"/>
    <row r="144" spans="2:20" s="43" customFormat="1" ht="21" customHeight="1" x14ac:dyDescent="0.25">
      <c r="B144" s="38" t="s">
        <v>151</v>
      </c>
      <c r="C144" s="129">
        <f>'11'!$H$6</f>
        <v>0</v>
      </c>
      <c r="D144" s="129"/>
      <c r="E144" s="129"/>
      <c r="F144" s="129"/>
      <c r="G144" s="129"/>
      <c r="H144" s="68" t="s">
        <v>138</v>
      </c>
      <c r="I144" s="39">
        <f>'11'!$H$11</f>
        <v>0</v>
      </c>
      <c r="J144" s="40" t="s">
        <v>140</v>
      </c>
      <c r="K144" s="39">
        <f>'11'!$AB$11</f>
        <v>0</v>
      </c>
      <c r="L144" s="41"/>
      <c r="M144" s="42"/>
      <c r="O144" s="47" t="s">
        <v>150</v>
      </c>
      <c r="P144" s="46"/>
      <c r="Q144" s="46"/>
      <c r="R144" s="46"/>
      <c r="S144" s="46"/>
      <c r="T144" s="46"/>
    </row>
    <row r="145" spans="2:20" s="23" customFormat="1" ht="31.5" hidden="1" customHeight="1" outlineLevel="1" x14ac:dyDescent="0.2">
      <c r="B145" s="31" t="s">
        <v>37</v>
      </c>
      <c r="C145" s="31" t="s">
        <v>139</v>
      </c>
      <c r="D145" s="31" t="s">
        <v>137</v>
      </c>
      <c r="E145" s="31" t="s">
        <v>116</v>
      </c>
      <c r="F145" s="31" t="s">
        <v>117</v>
      </c>
      <c r="G145" s="31" t="s">
        <v>118</v>
      </c>
      <c r="H145" s="31" t="s">
        <v>119</v>
      </c>
      <c r="I145" s="31" t="s">
        <v>120</v>
      </c>
      <c r="J145" s="31" t="s">
        <v>121</v>
      </c>
      <c r="K145" s="32" t="s">
        <v>122</v>
      </c>
      <c r="L145" s="32" t="s">
        <v>123</v>
      </c>
      <c r="M145" s="32" t="s">
        <v>124</v>
      </c>
      <c r="N145" s="28" t="s">
        <v>125</v>
      </c>
      <c r="O145" s="33" t="s">
        <v>126</v>
      </c>
      <c r="P145" s="32" t="s">
        <v>127</v>
      </c>
      <c r="Q145" s="32" t="s">
        <v>128</v>
      </c>
      <c r="R145" s="32" t="s">
        <v>129</v>
      </c>
      <c r="S145" s="32" t="s">
        <v>130</v>
      </c>
      <c r="T145" s="32" t="s">
        <v>131</v>
      </c>
    </row>
    <row r="146" spans="2:20" s="22" customFormat="1" ht="15.75" hidden="1" outlineLevel="1" x14ac:dyDescent="0.25">
      <c r="B146" s="44">
        <f>'11'!$B$32</f>
        <v>0</v>
      </c>
      <c r="C146" s="45">
        <f>'11'!$Z$32</f>
        <v>0</v>
      </c>
      <c r="D146" s="45">
        <f>'11'!$AD$32</f>
        <v>0</v>
      </c>
      <c r="E146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46" s="25" t="s">
        <v>248</v>
      </c>
      <c r="G146" s="25"/>
      <c r="H146" s="24"/>
      <c r="I146" s="25">
        <v>43647</v>
      </c>
      <c r="J146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46" s="27"/>
      <c r="L146" s="27"/>
      <c r="M146" s="27"/>
      <c r="N146" s="28"/>
      <c r="O146" s="34">
        <f t="shared" ref="O146:O155" ca="1" si="10">TODAY()</f>
        <v>43710</v>
      </c>
      <c r="P146" s="30">
        <f>IF(Projeto11[[#This Row],[Iniciada]]&lt;&gt;"",1,0)</f>
        <v>0</v>
      </c>
      <c r="Q146" s="30">
        <f ca="1">IF(Projeto11[[#This Row],[Já iniciada]]=1,0,IF(AND(Projeto11[[#This Row],[Data Início Prevista]]&lt;&gt;0,Projeto11[[#This Row],[éhoje]]&gt;Projeto11[[#This Row],[Data Início Prevista]]),1,0))</f>
        <v>0</v>
      </c>
      <c r="R146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46" s="29">
        <f>IF(Projeto11[[#This Row],[Data Repactuada]]&lt;&gt;"",1,0)</f>
        <v>0</v>
      </c>
      <c r="T146" s="30">
        <f>IF(Projeto11[[#This Row],[Concluída]]&lt;&gt;"",1,0)</f>
        <v>0</v>
      </c>
    </row>
    <row r="147" spans="2:20" s="22" customFormat="1" ht="15.75" hidden="1" outlineLevel="1" x14ac:dyDescent="0.25">
      <c r="B147" s="44">
        <f>'11'!$B$33</f>
        <v>0</v>
      </c>
      <c r="C147" s="45">
        <f>'11'!$Z$33</f>
        <v>0</v>
      </c>
      <c r="D147" s="45">
        <f>'11'!$AD$33</f>
        <v>0</v>
      </c>
      <c r="E147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47" s="25"/>
      <c r="G147" s="24"/>
      <c r="H147" s="24"/>
      <c r="I147" s="24"/>
      <c r="J147" s="37"/>
      <c r="K147" s="27"/>
      <c r="L147" s="27"/>
      <c r="M147" s="27"/>
      <c r="N147" s="28"/>
      <c r="O147" s="34">
        <f t="shared" ca="1" si="10"/>
        <v>43710</v>
      </c>
      <c r="P147" s="30">
        <f>IF(Projeto11[[#This Row],[Iniciada]]&lt;&gt;"",1,0)</f>
        <v>0</v>
      </c>
      <c r="Q147" s="30">
        <f ca="1">IF(Projeto11[[#This Row],[Já iniciada]]=1,0,IF(AND(Projeto11[[#This Row],[Data Início Prevista]]&lt;&gt;0,Projeto11[[#This Row],[éhoje]]&gt;Projeto11[[#This Row],[Data Início Prevista]]),1,0))</f>
        <v>0</v>
      </c>
      <c r="R147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47" s="29">
        <f>IF(Projeto11[[#This Row],[Data Repactuada]]&lt;&gt;"",1,0)</f>
        <v>0</v>
      </c>
      <c r="T147" s="30">
        <f>IF(Projeto11[[#This Row],[Concluída]]&lt;&gt;"",1,0)</f>
        <v>0</v>
      </c>
    </row>
    <row r="148" spans="2:20" s="22" customFormat="1" ht="15.75" hidden="1" outlineLevel="1" x14ac:dyDescent="0.25">
      <c r="B148" s="44">
        <f>'11'!$B$34</f>
        <v>0</v>
      </c>
      <c r="C148" s="45">
        <f>'11'!$Z$34</f>
        <v>0</v>
      </c>
      <c r="D148" s="45">
        <f>'11'!$AD$34</f>
        <v>0</v>
      </c>
      <c r="E148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48" s="25"/>
      <c r="G148" s="24"/>
      <c r="H148" s="24"/>
      <c r="I148" s="24"/>
      <c r="J148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48" s="27"/>
      <c r="L148" s="27"/>
      <c r="M148" s="27"/>
      <c r="N148" s="28"/>
      <c r="O148" s="34">
        <f t="shared" ca="1" si="10"/>
        <v>43710</v>
      </c>
      <c r="P148" s="30">
        <f>IF(Projeto11[[#This Row],[Iniciada]]&lt;&gt;"",1,0)</f>
        <v>0</v>
      </c>
      <c r="Q148" s="30">
        <f ca="1">IF(Projeto11[[#This Row],[Já iniciada]]=1,0,IF(AND(Projeto11[[#This Row],[Data Início Prevista]]&lt;&gt;0,Projeto11[[#This Row],[éhoje]]&gt;Projeto11[[#This Row],[Data Início Prevista]]),1,0))</f>
        <v>0</v>
      </c>
      <c r="R148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48" s="29">
        <f>IF(Projeto11[[#This Row],[Data Repactuada]]&lt;&gt;"",1,0)</f>
        <v>0</v>
      </c>
      <c r="T148" s="30">
        <f>IF(Projeto11[[#This Row],[Concluída]]&lt;&gt;"",1,0)</f>
        <v>0</v>
      </c>
    </row>
    <row r="149" spans="2:20" s="22" customFormat="1" ht="15.75" hidden="1" outlineLevel="1" x14ac:dyDescent="0.25">
      <c r="B149" s="44">
        <f>'11'!$B$35</f>
        <v>0</v>
      </c>
      <c r="C149" s="45">
        <f>'11'!$Z$35</f>
        <v>0</v>
      </c>
      <c r="D149" s="45">
        <f>'11'!$AD$35</f>
        <v>0</v>
      </c>
      <c r="E149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49" s="25"/>
      <c r="G149" s="24"/>
      <c r="H149" s="24"/>
      <c r="I149" s="24"/>
      <c r="J149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49" s="27"/>
      <c r="L149" s="27"/>
      <c r="M149" s="27"/>
      <c r="N149" s="28"/>
      <c r="O149" s="34">
        <f t="shared" ca="1" si="10"/>
        <v>43710</v>
      </c>
      <c r="P149" s="30">
        <f>IF(Projeto11[[#This Row],[Iniciada]]&lt;&gt;"",1,0)</f>
        <v>0</v>
      </c>
      <c r="Q149" s="30">
        <f ca="1">IF(Projeto11[[#This Row],[Já iniciada]]=1,0,IF(AND(Projeto11[[#This Row],[Data Início Prevista]]&lt;&gt;0,Projeto11[[#This Row],[éhoje]]&gt;Projeto11[[#This Row],[Data Início Prevista]]),1,0))</f>
        <v>0</v>
      </c>
      <c r="R149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49" s="29">
        <f>IF(Projeto11[[#This Row],[Data Repactuada]]&lt;&gt;"",1,0)</f>
        <v>0</v>
      </c>
      <c r="T149" s="30">
        <f>IF(Projeto11[[#This Row],[Concluída]]&lt;&gt;"",1,0)</f>
        <v>0</v>
      </c>
    </row>
    <row r="150" spans="2:20" s="22" customFormat="1" ht="15.75" hidden="1" outlineLevel="1" x14ac:dyDescent="0.25">
      <c r="B150" s="44">
        <f>'11'!$B$36</f>
        <v>0</v>
      </c>
      <c r="C150" s="45">
        <f>'11'!$Z$36</f>
        <v>0</v>
      </c>
      <c r="D150" s="45">
        <f>'11'!$AD$36</f>
        <v>0</v>
      </c>
      <c r="E150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50" s="25"/>
      <c r="G150" s="24"/>
      <c r="H150" s="24"/>
      <c r="I150" s="24"/>
      <c r="J150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50" s="27"/>
      <c r="L150" s="27"/>
      <c r="M150" s="27"/>
      <c r="N150" s="28"/>
      <c r="O150" s="34">
        <f t="shared" ca="1" si="10"/>
        <v>43710</v>
      </c>
      <c r="P150" s="30">
        <f>IF(Projeto11[[#This Row],[Iniciada]]&lt;&gt;"",1,0)</f>
        <v>0</v>
      </c>
      <c r="Q150" s="30">
        <f ca="1">IF(Projeto11[[#This Row],[Já iniciada]]=1,0,IF(AND(Projeto11[[#This Row],[Data Início Prevista]]&lt;&gt;0,Projeto11[[#This Row],[éhoje]]&gt;Projeto11[[#This Row],[Data Início Prevista]]),1,0))</f>
        <v>0</v>
      </c>
      <c r="R150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50" s="29">
        <f>IF(Projeto11[[#This Row],[Data Repactuada]]&lt;&gt;"",1,0)</f>
        <v>0</v>
      </c>
      <c r="T150" s="30">
        <f>IF(Projeto11[[#This Row],[Concluída]]&lt;&gt;"",1,0)</f>
        <v>0</v>
      </c>
    </row>
    <row r="151" spans="2:20" s="22" customFormat="1" ht="15.75" hidden="1" outlineLevel="1" x14ac:dyDescent="0.25">
      <c r="B151" s="44">
        <f>'11'!$B$37</f>
        <v>0</v>
      </c>
      <c r="C151" s="45">
        <f>'11'!$Z$37</f>
        <v>0</v>
      </c>
      <c r="D151" s="45">
        <f>'11'!$AD$37</f>
        <v>0</v>
      </c>
      <c r="E151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51" s="25"/>
      <c r="G151" s="24"/>
      <c r="H151" s="24"/>
      <c r="I151" s="24"/>
      <c r="J151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51" s="27"/>
      <c r="L151" s="27"/>
      <c r="M151" s="27"/>
      <c r="N151" s="28"/>
      <c r="O151" s="34">
        <f t="shared" ca="1" si="10"/>
        <v>43710</v>
      </c>
      <c r="P151" s="30">
        <f>IF(Projeto11[[#This Row],[Iniciada]]&lt;&gt;"",1,0)</f>
        <v>0</v>
      </c>
      <c r="Q151" s="30">
        <f ca="1">IF(Projeto11[[#This Row],[Já iniciada]]=1,0,IF(AND(Projeto11[[#This Row],[Data Início Prevista]]&lt;&gt;0,Projeto11[[#This Row],[éhoje]]&gt;Projeto11[[#This Row],[Data Início Prevista]]),1,0))</f>
        <v>0</v>
      </c>
      <c r="R151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51" s="29">
        <f>IF(Projeto11[[#This Row],[Data Repactuada]]&lt;&gt;"",1,0)</f>
        <v>0</v>
      </c>
      <c r="T151" s="30">
        <f>IF(Projeto11[[#This Row],[Concluída]]&lt;&gt;"",1,0)</f>
        <v>0</v>
      </c>
    </row>
    <row r="152" spans="2:20" s="22" customFormat="1" ht="15.75" hidden="1" outlineLevel="1" x14ac:dyDescent="0.25">
      <c r="B152" s="44">
        <f>'11'!$B$38</f>
        <v>0</v>
      </c>
      <c r="C152" s="45">
        <f>'11'!$Z$38</f>
        <v>0</v>
      </c>
      <c r="D152" s="45">
        <f>'11'!$AD$38</f>
        <v>0</v>
      </c>
      <c r="E152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52" s="25"/>
      <c r="G152" s="24"/>
      <c r="H152" s="24"/>
      <c r="I152" s="24"/>
      <c r="J152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52" s="27"/>
      <c r="L152" s="27"/>
      <c r="M152" s="27"/>
      <c r="N152" s="28"/>
      <c r="O152" s="34">
        <f t="shared" ca="1" si="10"/>
        <v>43710</v>
      </c>
      <c r="P152" s="30">
        <f>IF(Projeto11[[#This Row],[Iniciada]]&lt;&gt;"",1,0)</f>
        <v>0</v>
      </c>
      <c r="Q152" s="30">
        <f ca="1">IF(Projeto11[[#This Row],[Já iniciada]]=1,0,IF(AND(Projeto11[[#This Row],[Data Início Prevista]]&lt;&gt;0,Projeto11[[#This Row],[éhoje]]&gt;Projeto11[[#This Row],[Data Início Prevista]]),1,0))</f>
        <v>0</v>
      </c>
      <c r="R152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52" s="29">
        <f>IF(Projeto11[[#This Row],[Data Repactuada]]&lt;&gt;"",1,0)</f>
        <v>0</v>
      </c>
      <c r="T152" s="30">
        <f>IF(Projeto11[[#This Row],[Concluída]]&lt;&gt;"",1,0)</f>
        <v>0</v>
      </c>
    </row>
    <row r="153" spans="2:20" s="22" customFormat="1" ht="15.75" hidden="1" outlineLevel="1" x14ac:dyDescent="0.25">
      <c r="B153" s="44">
        <f>'11'!$B$39</f>
        <v>0</v>
      </c>
      <c r="C153" s="45">
        <f>'11'!$Z$39</f>
        <v>0</v>
      </c>
      <c r="D153" s="45">
        <f>'11'!$AD$39</f>
        <v>0</v>
      </c>
      <c r="E153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53" s="25"/>
      <c r="G153" s="24"/>
      <c r="H153" s="24"/>
      <c r="I153" s="24"/>
      <c r="J153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53" s="27"/>
      <c r="L153" s="27"/>
      <c r="M153" s="27"/>
      <c r="N153" s="28"/>
      <c r="O153" s="34">
        <f t="shared" ca="1" si="10"/>
        <v>43710</v>
      </c>
      <c r="P153" s="30">
        <f>IF(Projeto11[[#This Row],[Iniciada]]&lt;&gt;"",1,0)</f>
        <v>0</v>
      </c>
      <c r="Q153" s="30">
        <f ca="1">IF(Projeto11[[#This Row],[Já iniciada]]=1,0,IF(AND(Projeto11[[#This Row],[Data Início Prevista]]&lt;&gt;0,Projeto11[[#This Row],[éhoje]]&gt;Projeto11[[#This Row],[Data Início Prevista]]),1,0))</f>
        <v>0</v>
      </c>
      <c r="R153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53" s="29">
        <f>IF(Projeto11[[#This Row],[Data Repactuada]]&lt;&gt;"",1,0)</f>
        <v>0</v>
      </c>
      <c r="T153" s="30">
        <f>IF(Projeto11[[#This Row],[Concluída]]&lt;&gt;"",1,0)</f>
        <v>0</v>
      </c>
    </row>
    <row r="154" spans="2:20" s="22" customFormat="1" ht="15.75" hidden="1" outlineLevel="1" x14ac:dyDescent="0.25">
      <c r="B154" s="44">
        <f>'11'!$B$40</f>
        <v>0</v>
      </c>
      <c r="C154" s="45">
        <f>'11'!$Z$40</f>
        <v>0</v>
      </c>
      <c r="D154" s="45">
        <f>'11'!$AD$40</f>
        <v>0</v>
      </c>
      <c r="E154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54" s="25"/>
      <c r="G154" s="24"/>
      <c r="H154" s="24"/>
      <c r="I154" s="24"/>
      <c r="J154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54" s="27"/>
      <c r="L154" s="27"/>
      <c r="M154" s="27"/>
      <c r="N154" s="28"/>
      <c r="O154" s="34">
        <f t="shared" ca="1" si="10"/>
        <v>43710</v>
      </c>
      <c r="P154" s="30">
        <f>IF(Projeto11[[#This Row],[Iniciada]]&lt;&gt;"",1,0)</f>
        <v>0</v>
      </c>
      <c r="Q154" s="30">
        <f ca="1">IF(Projeto11[[#This Row],[Já iniciada]]=1,0,IF(AND(Projeto11[[#This Row],[Data Início Prevista]]&lt;&gt;0,Projeto11[[#This Row],[éhoje]]&gt;Projeto11[[#This Row],[Data Início Prevista]]),1,0))</f>
        <v>0</v>
      </c>
      <c r="R154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54" s="29">
        <f>IF(Projeto11[[#This Row],[Data Repactuada]]&lt;&gt;"",1,0)</f>
        <v>0</v>
      </c>
      <c r="T154" s="30">
        <f>IF(Projeto11[[#This Row],[Concluída]]&lt;&gt;"",1,0)</f>
        <v>0</v>
      </c>
    </row>
    <row r="155" spans="2:20" s="22" customFormat="1" ht="15.75" hidden="1" outlineLevel="1" x14ac:dyDescent="0.25">
      <c r="B155" s="44">
        <f>'11'!$B$41</f>
        <v>0</v>
      </c>
      <c r="C155" s="45">
        <f>'11'!$Z$41</f>
        <v>0</v>
      </c>
      <c r="D155" s="45">
        <f>'11'!$AD$41</f>
        <v>0</v>
      </c>
      <c r="E155" s="26" t="str">
        <f ca="1">IF(Projeto11[[#This Row],[Data Início Prevista]]&lt;&gt;"",IF(Projeto11[[#This Row],[Concluída]]&lt;&gt;"","Concluída",IF(Projeto11[[#This Row],[atraso inicio]]=1,"Atrasada",IF(Projeto11[[#This Row],[atraso FIM]]=1,"Atrasada",IF(Projeto11[[#This Row],[Cancelada]]&lt;&gt;"","Cancelada",IF(Projeto11[[#This Row],[Iniciada]]&lt;&gt;"","Iniciada",""))))))</f>
        <v/>
      </c>
      <c r="F155" s="25"/>
      <c r="G155" s="24"/>
      <c r="H155" s="24"/>
      <c r="I155" s="24"/>
      <c r="J155" s="37" t="str">
        <f ca="1">IF(Projeto11[[#This Row],[Status]]&lt;&gt;"Concluída","",IF(Projeto11[[#This Row],[Data Fim Real da Fase]]="","",IF(AND(Projeto11[[#This Row],[Status]]="Concluída",Projeto11[[#This Row],[Data Fim Real da Fase]]&lt;&gt;"",Projeto11[[#This Row],[Data Repactuada]]&lt;&gt;""),Projeto11[[#This Row],[Data Fim Real da Fase]]-Projeto11[[#This Row],[Data Repactuada]],Projeto11[[#This Row],[Data Fim Real da Fase]]-Projeto11[[#This Row],[Data Fim Prevista]])))</f>
        <v/>
      </c>
      <c r="K155" s="27"/>
      <c r="L155" s="27"/>
      <c r="M155" s="27"/>
      <c r="N155" s="28"/>
      <c r="O155" s="34">
        <f t="shared" ca="1" si="10"/>
        <v>43710</v>
      </c>
      <c r="P155" s="30">
        <f>IF(Projeto11[[#This Row],[Iniciada]]&lt;&gt;"",1,0)</f>
        <v>0</v>
      </c>
      <c r="Q155" s="30">
        <f ca="1">IF(Projeto11[[#This Row],[Já iniciada]]=1,0,IF(AND(Projeto11[[#This Row],[Data Início Prevista]]&lt;&gt;0,Projeto11[[#This Row],[éhoje]]&gt;Projeto11[[#This Row],[Data Início Prevista]]),1,0))</f>
        <v>0</v>
      </c>
      <c r="R155" s="30">
        <f>IF(Projeto11[[#This Row],[Concluido]]=1,0,IF(Projeto11[[#This Row],[Cancelada]]&lt;&gt;"",0,IF(Projeto11[[#This Row],[Data Fim Prevista]]=0,0,IF(Projeto11[[#This Row],[Repact]]=1,IF(Projeto11[[#This Row],[éhoje]]&lt;Projeto11[[#This Row],[Data Repactuada]],0,1),IF(Projeto11[[#This Row],[éhoje]]&gt;Projeto11[[#This Row],[Data Fim Prevista]],1,0)))))</f>
        <v>0</v>
      </c>
      <c r="S155" s="29">
        <f>IF(Projeto11[[#This Row],[Data Repactuada]]&lt;&gt;"",1,0)</f>
        <v>0</v>
      </c>
      <c r="T155" s="30">
        <f>IF(Projeto11[[#This Row],[Concluída]]&lt;&gt;"",1,0)</f>
        <v>0</v>
      </c>
    </row>
    <row r="156" spans="2:20" collapsed="1" x14ac:dyDescent="0.25"/>
    <row r="157" spans="2:20" x14ac:dyDescent="0.25"/>
    <row r="158" spans="2:20" s="43" customFormat="1" ht="21" customHeight="1" x14ac:dyDescent="0.25">
      <c r="B158" s="38" t="s">
        <v>152</v>
      </c>
      <c r="C158" s="129">
        <f>'12'!$H$6</f>
        <v>0</v>
      </c>
      <c r="D158" s="129"/>
      <c r="E158" s="129"/>
      <c r="F158" s="129"/>
      <c r="G158" s="129"/>
      <c r="H158" s="68" t="s">
        <v>138</v>
      </c>
      <c r="I158" s="39">
        <f>'12'!$H$11</f>
        <v>0</v>
      </c>
      <c r="J158" s="40" t="s">
        <v>140</v>
      </c>
      <c r="K158" s="39">
        <f>'12'!$AB$11</f>
        <v>0</v>
      </c>
      <c r="L158" s="41"/>
      <c r="M158" s="42"/>
      <c r="O158" s="47" t="s">
        <v>150</v>
      </c>
      <c r="P158" s="46"/>
      <c r="Q158" s="46"/>
      <c r="R158" s="46"/>
      <c r="S158" s="46"/>
      <c r="T158" s="46"/>
    </row>
    <row r="159" spans="2:20" s="23" customFormat="1" ht="31.5" hidden="1" customHeight="1" outlineLevel="1" x14ac:dyDescent="0.2">
      <c r="B159" s="31" t="s">
        <v>37</v>
      </c>
      <c r="C159" s="31" t="s">
        <v>139</v>
      </c>
      <c r="D159" s="31" t="s">
        <v>137</v>
      </c>
      <c r="E159" s="31" t="s">
        <v>116</v>
      </c>
      <c r="F159" s="31" t="s">
        <v>117</v>
      </c>
      <c r="G159" s="31" t="s">
        <v>118</v>
      </c>
      <c r="H159" s="31" t="s">
        <v>119</v>
      </c>
      <c r="I159" s="31" t="s">
        <v>120</v>
      </c>
      <c r="J159" s="31" t="s">
        <v>121</v>
      </c>
      <c r="K159" s="32" t="s">
        <v>122</v>
      </c>
      <c r="L159" s="32" t="s">
        <v>123</v>
      </c>
      <c r="M159" s="32" t="s">
        <v>124</v>
      </c>
      <c r="N159" s="28" t="s">
        <v>125</v>
      </c>
      <c r="O159" s="33" t="s">
        <v>126</v>
      </c>
      <c r="P159" s="32" t="s">
        <v>127</v>
      </c>
      <c r="Q159" s="32" t="s">
        <v>128</v>
      </c>
      <c r="R159" s="32" t="s">
        <v>129</v>
      </c>
      <c r="S159" s="32" t="s">
        <v>130</v>
      </c>
      <c r="T159" s="32" t="s">
        <v>131</v>
      </c>
    </row>
    <row r="160" spans="2:20" s="22" customFormat="1" ht="15.75" hidden="1" outlineLevel="1" x14ac:dyDescent="0.25">
      <c r="B160" s="44">
        <f>'12'!$B$32</f>
        <v>0</v>
      </c>
      <c r="C160" s="45">
        <f>'12'!$Z$32</f>
        <v>0</v>
      </c>
      <c r="D160" s="45">
        <f>'12'!$AD$32</f>
        <v>0</v>
      </c>
      <c r="E160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0" s="25" t="s">
        <v>248</v>
      </c>
      <c r="G160" s="25"/>
      <c r="H160" s="24"/>
      <c r="I160" s="25">
        <v>43647</v>
      </c>
      <c r="J160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0" s="27"/>
      <c r="L160" s="27"/>
      <c r="M160" s="27"/>
      <c r="N160" s="28"/>
      <c r="O160" s="34">
        <f t="shared" ref="O160:O169" ca="1" si="11">TODAY()</f>
        <v>43710</v>
      </c>
      <c r="P160" s="30">
        <f>IF(Projeto12[[#This Row],[Iniciada]]&lt;&gt;"",1,0)</f>
        <v>0</v>
      </c>
      <c r="Q160" s="30">
        <f ca="1">IF(Projeto12[[#This Row],[Já iniciada]]=1,0,IF(AND(Projeto12[[#This Row],[Data Início Prevista]]&lt;&gt;0,Projeto12[[#This Row],[éhoje]]&gt;Projeto12[[#This Row],[Data Início Prevista]]),1,0))</f>
        <v>0</v>
      </c>
      <c r="R160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0" s="29">
        <f>IF(Projeto12[[#This Row],[Data Repactuada]]&lt;&gt;"",1,0)</f>
        <v>0</v>
      </c>
      <c r="T160" s="30">
        <f>IF(Projeto12[[#This Row],[Concluída]]&lt;&gt;"",1,0)</f>
        <v>0</v>
      </c>
    </row>
    <row r="161" spans="2:20" s="22" customFormat="1" ht="15.75" hidden="1" outlineLevel="1" x14ac:dyDescent="0.25">
      <c r="B161" s="44">
        <f>'12'!$B$33</f>
        <v>0</v>
      </c>
      <c r="C161" s="45">
        <f>'12'!$Z$33</f>
        <v>0</v>
      </c>
      <c r="D161" s="45">
        <f>'12'!$AD$33</f>
        <v>0</v>
      </c>
      <c r="E161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1" s="25"/>
      <c r="G161" s="24"/>
      <c r="H161" s="24"/>
      <c r="I161" s="24"/>
      <c r="J161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1" s="27"/>
      <c r="L161" s="27"/>
      <c r="M161" s="27"/>
      <c r="N161" s="28"/>
      <c r="O161" s="34">
        <f t="shared" ca="1" si="11"/>
        <v>43710</v>
      </c>
      <c r="P161" s="30">
        <f>IF(Projeto12[[#This Row],[Iniciada]]&lt;&gt;"",1,0)</f>
        <v>0</v>
      </c>
      <c r="Q161" s="30">
        <f ca="1">IF(Projeto12[[#This Row],[Já iniciada]]=1,0,IF(AND(Projeto12[[#This Row],[Data Início Prevista]]&lt;&gt;0,Projeto12[[#This Row],[éhoje]]&gt;Projeto12[[#This Row],[Data Início Prevista]]),1,0))</f>
        <v>0</v>
      </c>
      <c r="R161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1" s="29">
        <f>IF(Projeto12[[#This Row],[Data Repactuada]]&lt;&gt;"",1,0)</f>
        <v>0</v>
      </c>
      <c r="T161" s="30">
        <f>IF(Projeto12[[#This Row],[Concluída]]&lt;&gt;"",1,0)</f>
        <v>0</v>
      </c>
    </row>
    <row r="162" spans="2:20" s="22" customFormat="1" ht="15.75" hidden="1" outlineLevel="1" x14ac:dyDescent="0.25">
      <c r="B162" s="44">
        <f>'12'!$B$34</f>
        <v>0</v>
      </c>
      <c r="C162" s="45">
        <f>'12'!$Z$34</f>
        <v>0</v>
      </c>
      <c r="D162" s="45">
        <f>'12'!$AD$34</f>
        <v>0</v>
      </c>
      <c r="E162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2" s="25"/>
      <c r="G162" s="24"/>
      <c r="H162" s="24"/>
      <c r="I162" s="24"/>
      <c r="J162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2" s="27"/>
      <c r="L162" s="27"/>
      <c r="M162" s="27"/>
      <c r="N162" s="28"/>
      <c r="O162" s="34">
        <f t="shared" ca="1" si="11"/>
        <v>43710</v>
      </c>
      <c r="P162" s="30">
        <f>IF(Projeto12[[#This Row],[Iniciada]]&lt;&gt;"",1,0)</f>
        <v>0</v>
      </c>
      <c r="Q162" s="30">
        <f ca="1">IF(Projeto12[[#This Row],[Já iniciada]]=1,0,IF(AND(Projeto12[[#This Row],[Data Início Prevista]]&lt;&gt;0,Projeto12[[#This Row],[éhoje]]&gt;Projeto12[[#This Row],[Data Início Prevista]]),1,0))</f>
        <v>0</v>
      </c>
      <c r="R162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2" s="29">
        <f>IF(Projeto12[[#This Row],[Data Repactuada]]&lt;&gt;"",1,0)</f>
        <v>0</v>
      </c>
      <c r="T162" s="30">
        <f>IF(Projeto12[[#This Row],[Concluída]]&lt;&gt;"",1,0)</f>
        <v>0</v>
      </c>
    </row>
    <row r="163" spans="2:20" s="22" customFormat="1" ht="15.75" hidden="1" outlineLevel="1" x14ac:dyDescent="0.25">
      <c r="B163" s="44">
        <f>'12'!$B$35</f>
        <v>0</v>
      </c>
      <c r="C163" s="45">
        <f>'12'!$Z$35</f>
        <v>0</v>
      </c>
      <c r="D163" s="45">
        <f>'12'!$AD$35</f>
        <v>0</v>
      </c>
      <c r="E163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3" s="25"/>
      <c r="G163" s="24"/>
      <c r="H163" s="24"/>
      <c r="I163" s="24"/>
      <c r="J163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3" s="27"/>
      <c r="L163" s="27"/>
      <c r="M163" s="27"/>
      <c r="N163" s="28"/>
      <c r="O163" s="34">
        <f t="shared" ca="1" si="11"/>
        <v>43710</v>
      </c>
      <c r="P163" s="30">
        <f>IF(Projeto12[[#This Row],[Iniciada]]&lt;&gt;"",1,0)</f>
        <v>0</v>
      </c>
      <c r="Q163" s="30">
        <f ca="1">IF(Projeto12[[#This Row],[Já iniciada]]=1,0,IF(AND(Projeto12[[#This Row],[Data Início Prevista]]&lt;&gt;0,Projeto12[[#This Row],[éhoje]]&gt;Projeto12[[#This Row],[Data Início Prevista]]),1,0))</f>
        <v>0</v>
      </c>
      <c r="R163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3" s="29">
        <f>IF(Projeto12[[#This Row],[Data Repactuada]]&lt;&gt;"",1,0)</f>
        <v>0</v>
      </c>
      <c r="T163" s="30">
        <f>IF(Projeto12[[#This Row],[Concluída]]&lt;&gt;"",1,0)</f>
        <v>0</v>
      </c>
    </row>
    <row r="164" spans="2:20" s="22" customFormat="1" ht="15.75" hidden="1" outlineLevel="1" x14ac:dyDescent="0.25">
      <c r="B164" s="44">
        <f>'12'!$B$36</f>
        <v>0</v>
      </c>
      <c r="C164" s="45">
        <f>'12'!$Z$36</f>
        <v>0</v>
      </c>
      <c r="D164" s="45">
        <f>'12'!$AD$36</f>
        <v>0</v>
      </c>
      <c r="E164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4" s="25"/>
      <c r="G164" s="24"/>
      <c r="H164" s="24"/>
      <c r="I164" s="24"/>
      <c r="J164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4" s="27"/>
      <c r="L164" s="27"/>
      <c r="M164" s="27"/>
      <c r="N164" s="28"/>
      <c r="O164" s="34">
        <f t="shared" ca="1" si="11"/>
        <v>43710</v>
      </c>
      <c r="P164" s="30">
        <f>IF(Projeto12[[#This Row],[Iniciada]]&lt;&gt;"",1,0)</f>
        <v>0</v>
      </c>
      <c r="Q164" s="30">
        <f ca="1">IF(Projeto12[[#This Row],[Já iniciada]]=1,0,IF(AND(Projeto12[[#This Row],[Data Início Prevista]]&lt;&gt;0,Projeto12[[#This Row],[éhoje]]&gt;Projeto12[[#This Row],[Data Início Prevista]]),1,0))</f>
        <v>0</v>
      </c>
      <c r="R164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4" s="29">
        <f>IF(Projeto12[[#This Row],[Data Repactuada]]&lt;&gt;"",1,0)</f>
        <v>0</v>
      </c>
      <c r="T164" s="30">
        <f>IF(Projeto12[[#This Row],[Concluída]]&lt;&gt;"",1,0)</f>
        <v>0</v>
      </c>
    </row>
    <row r="165" spans="2:20" s="22" customFormat="1" ht="15.75" hidden="1" outlineLevel="1" x14ac:dyDescent="0.25">
      <c r="B165" s="44">
        <f>'12'!$B$37</f>
        <v>0</v>
      </c>
      <c r="C165" s="45">
        <f>'12'!$Z$37</f>
        <v>0</v>
      </c>
      <c r="D165" s="45">
        <f>'12'!$AD$37</f>
        <v>0</v>
      </c>
      <c r="E165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5" s="25"/>
      <c r="G165" s="24"/>
      <c r="H165" s="24"/>
      <c r="I165" s="24"/>
      <c r="J165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5" s="27"/>
      <c r="L165" s="27"/>
      <c r="M165" s="27"/>
      <c r="N165" s="28"/>
      <c r="O165" s="34">
        <f t="shared" ca="1" si="11"/>
        <v>43710</v>
      </c>
      <c r="P165" s="30">
        <f>IF(Projeto12[[#This Row],[Iniciada]]&lt;&gt;"",1,0)</f>
        <v>0</v>
      </c>
      <c r="Q165" s="30">
        <f ca="1">IF(Projeto12[[#This Row],[Já iniciada]]=1,0,IF(AND(Projeto12[[#This Row],[Data Início Prevista]]&lt;&gt;0,Projeto12[[#This Row],[éhoje]]&gt;Projeto12[[#This Row],[Data Início Prevista]]),1,0))</f>
        <v>0</v>
      </c>
      <c r="R165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5" s="29">
        <f>IF(Projeto12[[#This Row],[Data Repactuada]]&lt;&gt;"",1,0)</f>
        <v>0</v>
      </c>
      <c r="T165" s="30">
        <f>IF(Projeto12[[#This Row],[Concluída]]&lt;&gt;"",1,0)</f>
        <v>0</v>
      </c>
    </row>
    <row r="166" spans="2:20" s="22" customFormat="1" ht="15.75" hidden="1" outlineLevel="1" x14ac:dyDescent="0.25">
      <c r="B166" s="44">
        <f>'12'!$B$38</f>
        <v>0</v>
      </c>
      <c r="C166" s="45">
        <f>'12'!$Z$38</f>
        <v>0</v>
      </c>
      <c r="D166" s="45">
        <f>'12'!$AD$38</f>
        <v>0</v>
      </c>
      <c r="E166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6" s="25"/>
      <c r="G166" s="24"/>
      <c r="H166" s="24"/>
      <c r="I166" s="24"/>
      <c r="J166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6" s="27"/>
      <c r="L166" s="27"/>
      <c r="M166" s="27"/>
      <c r="N166" s="28"/>
      <c r="O166" s="34">
        <f t="shared" ca="1" si="11"/>
        <v>43710</v>
      </c>
      <c r="P166" s="30">
        <f>IF(Projeto12[[#This Row],[Iniciada]]&lt;&gt;"",1,0)</f>
        <v>0</v>
      </c>
      <c r="Q166" s="30">
        <f ca="1">IF(Projeto12[[#This Row],[Já iniciada]]=1,0,IF(AND(Projeto12[[#This Row],[Data Início Prevista]]&lt;&gt;0,Projeto12[[#This Row],[éhoje]]&gt;Projeto12[[#This Row],[Data Início Prevista]]),1,0))</f>
        <v>0</v>
      </c>
      <c r="R166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6" s="29">
        <f>IF(Projeto12[[#This Row],[Data Repactuada]]&lt;&gt;"",1,0)</f>
        <v>0</v>
      </c>
      <c r="T166" s="30">
        <f>IF(Projeto12[[#This Row],[Concluída]]&lt;&gt;"",1,0)</f>
        <v>0</v>
      </c>
    </row>
    <row r="167" spans="2:20" s="22" customFormat="1" ht="15.75" hidden="1" outlineLevel="1" x14ac:dyDescent="0.25">
      <c r="B167" s="44">
        <f>'12'!$B$39</f>
        <v>0</v>
      </c>
      <c r="C167" s="45">
        <f>'12'!$Z$39</f>
        <v>0</v>
      </c>
      <c r="D167" s="45">
        <f>'12'!$AD$39</f>
        <v>0</v>
      </c>
      <c r="E167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7" s="25"/>
      <c r="G167" s="24"/>
      <c r="H167" s="24"/>
      <c r="I167" s="24"/>
      <c r="J167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7" s="27"/>
      <c r="L167" s="27"/>
      <c r="M167" s="27"/>
      <c r="N167" s="28"/>
      <c r="O167" s="34">
        <f t="shared" ca="1" si="11"/>
        <v>43710</v>
      </c>
      <c r="P167" s="30">
        <f>IF(Projeto12[[#This Row],[Iniciada]]&lt;&gt;"",1,0)</f>
        <v>0</v>
      </c>
      <c r="Q167" s="30">
        <f ca="1">IF(Projeto12[[#This Row],[Já iniciada]]=1,0,IF(AND(Projeto12[[#This Row],[Data Início Prevista]]&lt;&gt;0,Projeto12[[#This Row],[éhoje]]&gt;Projeto12[[#This Row],[Data Início Prevista]]),1,0))</f>
        <v>0</v>
      </c>
      <c r="R167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7" s="29">
        <f>IF(Projeto12[[#This Row],[Data Repactuada]]&lt;&gt;"",1,0)</f>
        <v>0</v>
      </c>
      <c r="T167" s="30">
        <f>IF(Projeto12[[#This Row],[Concluída]]&lt;&gt;"",1,0)</f>
        <v>0</v>
      </c>
    </row>
    <row r="168" spans="2:20" s="22" customFormat="1" ht="15.75" hidden="1" outlineLevel="1" x14ac:dyDescent="0.25">
      <c r="B168" s="44">
        <f>'12'!$B$40</f>
        <v>0</v>
      </c>
      <c r="C168" s="45">
        <f>'12'!$Z$40</f>
        <v>0</v>
      </c>
      <c r="D168" s="45">
        <f>'12'!$AD$40</f>
        <v>0</v>
      </c>
      <c r="E168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8" s="25"/>
      <c r="G168" s="24"/>
      <c r="H168" s="24"/>
      <c r="I168" s="24"/>
      <c r="J168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8" s="27"/>
      <c r="L168" s="27"/>
      <c r="M168" s="27"/>
      <c r="N168" s="28"/>
      <c r="O168" s="34">
        <f t="shared" ca="1" si="11"/>
        <v>43710</v>
      </c>
      <c r="P168" s="30">
        <f>IF(Projeto12[[#This Row],[Iniciada]]&lt;&gt;"",1,0)</f>
        <v>0</v>
      </c>
      <c r="Q168" s="30">
        <f ca="1">IF(Projeto12[[#This Row],[Já iniciada]]=1,0,IF(AND(Projeto12[[#This Row],[Data Início Prevista]]&lt;&gt;0,Projeto12[[#This Row],[éhoje]]&gt;Projeto12[[#This Row],[Data Início Prevista]]),1,0))</f>
        <v>0</v>
      </c>
      <c r="R168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8" s="29">
        <f>IF(Projeto12[[#This Row],[Data Repactuada]]&lt;&gt;"",1,0)</f>
        <v>0</v>
      </c>
      <c r="T168" s="30">
        <f>IF(Projeto12[[#This Row],[Concluída]]&lt;&gt;"",1,0)</f>
        <v>0</v>
      </c>
    </row>
    <row r="169" spans="2:20" s="22" customFormat="1" ht="15.75" hidden="1" outlineLevel="1" x14ac:dyDescent="0.25">
      <c r="B169" s="44">
        <f>'12'!$B$41</f>
        <v>0</v>
      </c>
      <c r="C169" s="45">
        <f>'12'!$Z$41</f>
        <v>0</v>
      </c>
      <c r="D169" s="45">
        <f>'12'!$AD$41</f>
        <v>0</v>
      </c>
      <c r="E169" s="26" t="str">
        <f ca="1">IF(Projeto12[[#This Row],[Data Início Prevista]]&lt;&gt;"",IF(Projeto12[[#This Row],[Concluída]]&lt;&gt;"","Concluída",IF(Projeto12[[#This Row],[atraso inicio]]=1,"Atrasada",IF(Projeto12[[#This Row],[atraso FIM]]=1,"Atrasada",IF(Projeto12[[#This Row],[Cancelada]]&lt;&gt;"","Cancelada",IF(Projeto12[[#This Row],[Iniciada]]&lt;&gt;"","Iniciada",""))))))</f>
        <v/>
      </c>
      <c r="F169" s="25"/>
      <c r="G169" s="24"/>
      <c r="H169" s="24"/>
      <c r="I169" s="24"/>
      <c r="J169" s="37" t="str">
        <f ca="1">IF(Projeto12[[#This Row],[Status]]&lt;&gt;"Concluída","",IF(Projeto12[[#This Row],[Data Fim Real da Fase]]="","",IF(AND(Projeto12[[#This Row],[Status]]="Concluída",Projeto12[[#This Row],[Data Fim Real da Fase]]&lt;&gt;"",Projeto12[[#This Row],[Data Repactuada]]&lt;&gt;""),Projeto12[[#This Row],[Data Fim Real da Fase]]-Projeto12[[#This Row],[Data Repactuada]],Projeto12[[#This Row],[Data Fim Real da Fase]]-Projeto12[[#This Row],[Data Fim Prevista]])))</f>
        <v/>
      </c>
      <c r="K169" s="27"/>
      <c r="L169" s="27"/>
      <c r="M169" s="27"/>
      <c r="N169" s="28"/>
      <c r="O169" s="34">
        <f t="shared" ca="1" si="11"/>
        <v>43710</v>
      </c>
      <c r="P169" s="30">
        <f>IF(Projeto12[[#This Row],[Iniciada]]&lt;&gt;"",1,0)</f>
        <v>0</v>
      </c>
      <c r="Q169" s="30">
        <f ca="1">IF(Projeto12[[#This Row],[Já iniciada]]=1,0,IF(AND(Projeto12[[#This Row],[Data Início Prevista]]&lt;&gt;0,Projeto12[[#This Row],[éhoje]]&gt;Projeto12[[#This Row],[Data Início Prevista]]),1,0))</f>
        <v>0</v>
      </c>
      <c r="R169" s="30">
        <f>IF(Projeto12[[#This Row],[Concluido]]=1,0,IF(Projeto12[[#This Row],[Cancelada]]&lt;&gt;"",0,IF(Projeto12[[#This Row],[Data Fim Prevista]]=0,0,IF(Projeto12[[#This Row],[Repact]]=1,IF(Projeto12[[#This Row],[éhoje]]&lt;Projeto12[[#This Row],[Data Repactuada]],0,1),IF(Projeto12[[#This Row],[éhoje]]&gt;Projeto12[[#This Row],[Data Fim Prevista]],1,0)))))</f>
        <v>0</v>
      </c>
      <c r="S169" s="29">
        <f>IF(Projeto12[[#This Row],[Data Repactuada]]&lt;&gt;"",1,0)</f>
        <v>0</v>
      </c>
      <c r="T169" s="30">
        <f>IF(Projeto12[[#This Row],[Concluída]]&lt;&gt;"",1,0)</f>
        <v>0</v>
      </c>
    </row>
    <row r="170" spans="2:20" collapsed="1" x14ac:dyDescent="0.25"/>
    <row r="171" spans="2:20" x14ac:dyDescent="0.25"/>
    <row r="172" spans="2:20" s="43" customFormat="1" ht="21" customHeight="1" x14ac:dyDescent="0.25">
      <c r="B172" s="38" t="s">
        <v>153</v>
      </c>
      <c r="C172" s="129">
        <f>'13'!$H$6</f>
        <v>0</v>
      </c>
      <c r="D172" s="129"/>
      <c r="E172" s="129"/>
      <c r="F172" s="129"/>
      <c r="G172" s="129"/>
      <c r="H172" s="68" t="s">
        <v>138</v>
      </c>
      <c r="I172" s="39">
        <f>'13'!$H$11</f>
        <v>43647</v>
      </c>
      <c r="J172" s="40" t="s">
        <v>140</v>
      </c>
      <c r="K172" s="39">
        <f>'13'!$AB$11</f>
        <v>43677</v>
      </c>
      <c r="L172" s="41"/>
      <c r="M172" s="42"/>
      <c r="O172" s="47" t="s">
        <v>150</v>
      </c>
      <c r="P172" s="46"/>
      <c r="Q172" s="46"/>
      <c r="R172" s="46"/>
      <c r="S172" s="46"/>
      <c r="T172" s="46"/>
    </row>
    <row r="173" spans="2:20" s="23" customFormat="1" ht="31.5" hidden="1" customHeight="1" outlineLevel="1" x14ac:dyDescent="0.2">
      <c r="B173" s="31" t="s">
        <v>37</v>
      </c>
      <c r="C173" s="31" t="s">
        <v>139</v>
      </c>
      <c r="D173" s="31" t="s">
        <v>137</v>
      </c>
      <c r="E173" s="31" t="s">
        <v>116</v>
      </c>
      <c r="F173" s="31" t="s">
        <v>117</v>
      </c>
      <c r="G173" s="31" t="s">
        <v>118</v>
      </c>
      <c r="H173" s="31" t="s">
        <v>119</v>
      </c>
      <c r="I173" s="31" t="s">
        <v>120</v>
      </c>
      <c r="J173" s="31" t="s">
        <v>121</v>
      </c>
      <c r="K173" s="32" t="s">
        <v>122</v>
      </c>
      <c r="L173" s="32" t="s">
        <v>123</v>
      </c>
      <c r="M173" s="32" t="s">
        <v>124</v>
      </c>
      <c r="N173" s="28" t="s">
        <v>125</v>
      </c>
      <c r="O173" s="33" t="s">
        <v>126</v>
      </c>
      <c r="P173" s="32" t="s">
        <v>127</v>
      </c>
      <c r="Q173" s="32" t="s">
        <v>128</v>
      </c>
      <c r="R173" s="32" t="s">
        <v>129</v>
      </c>
      <c r="S173" s="32" t="s">
        <v>130</v>
      </c>
      <c r="T173" s="32" t="s">
        <v>131</v>
      </c>
    </row>
    <row r="174" spans="2:20" s="22" customFormat="1" ht="15.75" hidden="1" outlineLevel="1" x14ac:dyDescent="0.25">
      <c r="B174" s="44">
        <f>'13'!$B$32</f>
        <v>0</v>
      </c>
      <c r="C174" s="45">
        <f>'13'!$Z$32</f>
        <v>0</v>
      </c>
      <c r="D174" s="45">
        <f>'13'!$AD$32</f>
        <v>0</v>
      </c>
      <c r="E174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74" s="25" t="s">
        <v>248</v>
      </c>
      <c r="G174" s="25"/>
      <c r="H174" s="24"/>
      <c r="I174" s="25">
        <v>43647</v>
      </c>
      <c r="J174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74" s="27"/>
      <c r="L174" s="27"/>
      <c r="M174" s="27"/>
      <c r="N174" s="28"/>
      <c r="O174" s="34">
        <f t="shared" ref="O174:O183" ca="1" si="12">TODAY()</f>
        <v>43710</v>
      </c>
      <c r="P174" s="30">
        <f>IF(Projeto13[[#This Row],[Iniciada]]&lt;&gt;"",1,0)</f>
        <v>0</v>
      </c>
      <c r="Q174" s="30">
        <f ca="1">IF(Projeto13[[#This Row],[Já iniciada]]=1,0,IF(AND(Projeto13[[#This Row],[Data Início Prevista]]&lt;&gt;0,Projeto13[[#This Row],[éhoje]]&gt;Projeto13[[#This Row],[Data Início Prevista]]),1,0))</f>
        <v>0</v>
      </c>
      <c r="R174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74" s="29">
        <f>IF(Projeto13[[#This Row],[Data Repactuada]]&lt;&gt;"",1,0)</f>
        <v>0</v>
      </c>
      <c r="T174" s="30">
        <f>IF(Projeto13[[#This Row],[Concluída]]&lt;&gt;"",1,0)</f>
        <v>0</v>
      </c>
    </row>
    <row r="175" spans="2:20" s="22" customFormat="1" ht="15.75" hidden="1" outlineLevel="1" x14ac:dyDescent="0.25">
      <c r="B175" s="44">
        <f>'13'!$B$33</f>
        <v>0</v>
      </c>
      <c r="C175" s="45">
        <f>'13'!$Z$33</f>
        <v>0</v>
      </c>
      <c r="D175" s="45">
        <f>'13'!$AD$33</f>
        <v>0</v>
      </c>
      <c r="E175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75" s="25"/>
      <c r="G175" s="24"/>
      <c r="H175" s="24"/>
      <c r="I175" s="24"/>
      <c r="J175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75" s="27"/>
      <c r="L175" s="27"/>
      <c r="M175" s="27"/>
      <c r="N175" s="28"/>
      <c r="O175" s="34">
        <f t="shared" ca="1" si="12"/>
        <v>43710</v>
      </c>
      <c r="P175" s="30">
        <f>IF(Projeto13[[#This Row],[Iniciada]]&lt;&gt;"",1,0)</f>
        <v>0</v>
      </c>
      <c r="Q175" s="30">
        <f ca="1">IF(Projeto13[[#This Row],[Já iniciada]]=1,0,IF(AND(Projeto13[[#This Row],[Data Início Prevista]]&lt;&gt;0,Projeto13[[#This Row],[éhoje]]&gt;Projeto13[[#This Row],[Data Início Prevista]]),1,0))</f>
        <v>0</v>
      </c>
      <c r="R175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75" s="29">
        <f>IF(Projeto13[[#This Row],[Data Repactuada]]&lt;&gt;"",1,0)</f>
        <v>0</v>
      </c>
      <c r="T175" s="30">
        <f>IF(Projeto13[[#This Row],[Concluída]]&lt;&gt;"",1,0)</f>
        <v>0</v>
      </c>
    </row>
    <row r="176" spans="2:20" s="22" customFormat="1" ht="15.75" hidden="1" outlineLevel="1" x14ac:dyDescent="0.25">
      <c r="B176" s="44">
        <f>'13'!$B$34</f>
        <v>0</v>
      </c>
      <c r="C176" s="45">
        <f>'13'!$Z$34</f>
        <v>0</v>
      </c>
      <c r="D176" s="45">
        <f>'13'!$AD$34</f>
        <v>0</v>
      </c>
      <c r="E176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76" s="25"/>
      <c r="G176" s="24"/>
      <c r="H176" s="24"/>
      <c r="I176" s="24"/>
      <c r="J176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76" s="27"/>
      <c r="L176" s="27"/>
      <c r="M176" s="27"/>
      <c r="N176" s="28"/>
      <c r="O176" s="34">
        <f t="shared" ca="1" si="12"/>
        <v>43710</v>
      </c>
      <c r="P176" s="30">
        <f>IF(Projeto13[[#This Row],[Iniciada]]&lt;&gt;"",1,0)</f>
        <v>0</v>
      </c>
      <c r="Q176" s="30">
        <f ca="1">IF(Projeto13[[#This Row],[Já iniciada]]=1,0,IF(AND(Projeto13[[#This Row],[Data Início Prevista]]&lt;&gt;0,Projeto13[[#This Row],[éhoje]]&gt;Projeto13[[#This Row],[Data Início Prevista]]),1,0))</f>
        <v>0</v>
      </c>
      <c r="R176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76" s="29">
        <f>IF(Projeto13[[#This Row],[Data Repactuada]]&lt;&gt;"",1,0)</f>
        <v>0</v>
      </c>
      <c r="T176" s="30">
        <f>IF(Projeto13[[#This Row],[Concluída]]&lt;&gt;"",1,0)</f>
        <v>0</v>
      </c>
    </row>
    <row r="177" spans="2:20" s="22" customFormat="1" ht="15.75" hidden="1" outlineLevel="1" x14ac:dyDescent="0.25">
      <c r="B177" s="44">
        <f>'13'!$B$35</f>
        <v>0</v>
      </c>
      <c r="C177" s="45">
        <f>'13'!$Z$35</f>
        <v>0</v>
      </c>
      <c r="D177" s="45">
        <f>'13'!$AD$35</f>
        <v>0</v>
      </c>
      <c r="E177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77" s="25"/>
      <c r="G177" s="24"/>
      <c r="H177" s="24"/>
      <c r="I177" s="24"/>
      <c r="J177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77" s="27"/>
      <c r="L177" s="27"/>
      <c r="M177" s="27"/>
      <c r="N177" s="28"/>
      <c r="O177" s="34">
        <f t="shared" ca="1" si="12"/>
        <v>43710</v>
      </c>
      <c r="P177" s="30">
        <f>IF(Projeto13[[#This Row],[Iniciada]]&lt;&gt;"",1,0)</f>
        <v>0</v>
      </c>
      <c r="Q177" s="30">
        <f ca="1">IF(Projeto13[[#This Row],[Já iniciada]]=1,0,IF(AND(Projeto13[[#This Row],[Data Início Prevista]]&lt;&gt;0,Projeto13[[#This Row],[éhoje]]&gt;Projeto13[[#This Row],[Data Início Prevista]]),1,0))</f>
        <v>0</v>
      </c>
      <c r="R177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77" s="29">
        <f>IF(Projeto13[[#This Row],[Data Repactuada]]&lt;&gt;"",1,0)</f>
        <v>0</v>
      </c>
      <c r="T177" s="30">
        <f>IF(Projeto13[[#This Row],[Concluída]]&lt;&gt;"",1,0)</f>
        <v>0</v>
      </c>
    </row>
    <row r="178" spans="2:20" s="22" customFormat="1" ht="15.75" hidden="1" outlineLevel="1" x14ac:dyDescent="0.25">
      <c r="B178" s="44">
        <f>'13'!$B$36</f>
        <v>0</v>
      </c>
      <c r="C178" s="45">
        <f>'13'!$Z$36</f>
        <v>0</v>
      </c>
      <c r="D178" s="45">
        <f>'13'!$AD$36</f>
        <v>0</v>
      </c>
      <c r="E178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78" s="25"/>
      <c r="G178" s="24"/>
      <c r="H178" s="24"/>
      <c r="I178" s="24"/>
      <c r="J178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78" s="27"/>
      <c r="L178" s="27"/>
      <c r="M178" s="27"/>
      <c r="N178" s="28"/>
      <c r="O178" s="34">
        <f t="shared" ca="1" si="12"/>
        <v>43710</v>
      </c>
      <c r="P178" s="30">
        <f>IF(Projeto13[[#This Row],[Iniciada]]&lt;&gt;"",1,0)</f>
        <v>0</v>
      </c>
      <c r="Q178" s="30">
        <f ca="1">IF(Projeto13[[#This Row],[Já iniciada]]=1,0,IF(AND(Projeto13[[#This Row],[Data Início Prevista]]&lt;&gt;0,Projeto13[[#This Row],[éhoje]]&gt;Projeto13[[#This Row],[Data Início Prevista]]),1,0))</f>
        <v>0</v>
      </c>
      <c r="R178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78" s="29">
        <f>IF(Projeto13[[#This Row],[Data Repactuada]]&lt;&gt;"",1,0)</f>
        <v>0</v>
      </c>
      <c r="T178" s="30">
        <f>IF(Projeto13[[#This Row],[Concluída]]&lt;&gt;"",1,0)</f>
        <v>0</v>
      </c>
    </row>
    <row r="179" spans="2:20" s="22" customFormat="1" ht="15.75" hidden="1" outlineLevel="1" x14ac:dyDescent="0.25">
      <c r="B179" s="44">
        <f>'13'!$B$37</f>
        <v>0</v>
      </c>
      <c r="C179" s="45">
        <f>'13'!$Z$37</f>
        <v>0</v>
      </c>
      <c r="D179" s="45">
        <f>'13'!$AD$37</f>
        <v>0</v>
      </c>
      <c r="E179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79" s="25"/>
      <c r="G179" s="24"/>
      <c r="H179" s="24"/>
      <c r="I179" s="24"/>
      <c r="J179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79" s="27"/>
      <c r="L179" s="27"/>
      <c r="M179" s="27"/>
      <c r="N179" s="28"/>
      <c r="O179" s="34">
        <f t="shared" ca="1" si="12"/>
        <v>43710</v>
      </c>
      <c r="P179" s="30">
        <f>IF(Projeto13[[#This Row],[Iniciada]]&lt;&gt;"",1,0)</f>
        <v>0</v>
      </c>
      <c r="Q179" s="30">
        <f ca="1">IF(Projeto13[[#This Row],[Já iniciada]]=1,0,IF(AND(Projeto13[[#This Row],[Data Início Prevista]]&lt;&gt;0,Projeto13[[#This Row],[éhoje]]&gt;Projeto13[[#This Row],[Data Início Prevista]]),1,0))</f>
        <v>0</v>
      </c>
      <c r="R179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79" s="29">
        <f>IF(Projeto13[[#This Row],[Data Repactuada]]&lt;&gt;"",1,0)</f>
        <v>0</v>
      </c>
      <c r="T179" s="30">
        <f>IF(Projeto13[[#This Row],[Concluída]]&lt;&gt;"",1,0)</f>
        <v>0</v>
      </c>
    </row>
    <row r="180" spans="2:20" s="22" customFormat="1" ht="15.75" hidden="1" outlineLevel="1" x14ac:dyDescent="0.25">
      <c r="B180" s="44">
        <f>'13'!$B$38</f>
        <v>0</v>
      </c>
      <c r="C180" s="45">
        <f>'13'!$Z$38</f>
        <v>0</v>
      </c>
      <c r="D180" s="45">
        <f>'13'!$AD$38</f>
        <v>0</v>
      </c>
      <c r="E180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80" s="25"/>
      <c r="G180" s="24"/>
      <c r="H180" s="24"/>
      <c r="I180" s="24"/>
      <c r="J180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80" s="27"/>
      <c r="L180" s="27"/>
      <c r="M180" s="27"/>
      <c r="N180" s="28"/>
      <c r="O180" s="34">
        <f t="shared" ca="1" si="12"/>
        <v>43710</v>
      </c>
      <c r="P180" s="30">
        <f>IF(Projeto13[[#This Row],[Iniciada]]&lt;&gt;"",1,0)</f>
        <v>0</v>
      </c>
      <c r="Q180" s="30">
        <f ca="1">IF(Projeto13[[#This Row],[Já iniciada]]=1,0,IF(AND(Projeto13[[#This Row],[Data Início Prevista]]&lt;&gt;0,Projeto13[[#This Row],[éhoje]]&gt;Projeto13[[#This Row],[Data Início Prevista]]),1,0))</f>
        <v>0</v>
      </c>
      <c r="R180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80" s="29">
        <f>IF(Projeto13[[#This Row],[Data Repactuada]]&lt;&gt;"",1,0)</f>
        <v>0</v>
      </c>
      <c r="T180" s="30">
        <f>IF(Projeto13[[#This Row],[Concluída]]&lt;&gt;"",1,0)</f>
        <v>0</v>
      </c>
    </row>
    <row r="181" spans="2:20" s="22" customFormat="1" ht="15.75" hidden="1" outlineLevel="1" x14ac:dyDescent="0.25">
      <c r="B181" s="44">
        <f>'13'!$B$39</f>
        <v>0</v>
      </c>
      <c r="C181" s="45">
        <f>'13'!$Z$39</f>
        <v>0</v>
      </c>
      <c r="D181" s="45">
        <f>'13'!$AD$39</f>
        <v>0</v>
      </c>
      <c r="E181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81" s="25"/>
      <c r="G181" s="24"/>
      <c r="H181" s="24"/>
      <c r="I181" s="24"/>
      <c r="J181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81" s="27"/>
      <c r="L181" s="27"/>
      <c r="M181" s="27"/>
      <c r="N181" s="28"/>
      <c r="O181" s="34">
        <f t="shared" ca="1" si="12"/>
        <v>43710</v>
      </c>
      <c r="P181" s="30">
        <f>IF(Projeto13[[#This Row],[Iniciada]]&lt;&gt;"",1,0)</f>
        <v>0</v>
      </c>
      <c r="Q181" s="30">
        <f ca="1">IF(Projeto13[[#This Row],[Já iniciada]]=1,0,IF(AND(Projeto13[[#This Row],[Data Início Prevista]]&lt;&gt;0,Projeto13[[#This Row],[éhoje]]&gt;Projeto13[[#This Row],[Data Início Prevista]]),1,0))</f>
        <v>0</v>
      </c>
      <c r="R181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81" s="29">
        <f>IF(Projeto13[[#This Row],[Data Repactuada]]&lt;&gt;"",1,0)</f>
        <v>0</v>
      </c>
      <c r="T181" s="30">
        <f>IF(Projeto13[[#This Row],[Concluída]]&lt;&gt;"",1,0)</f>
        <v>0</v>
      </c>
    </row>
    <row r="182" spans="2:20" s="22" customFormat="1" ht="15.75" hidden="1" outlineLevel="1" x14ac:dyDescent="0.25">
      <c r="B182" s="44">
        <f>'13'!$B$40</f>
        <v>0</v>
      </c>
      <c r="C182" s="45">
        <f>'13'!$Z$40</f>
        <v>0</v>
      </c>
      <c r="D182" s="45">
        <f>'13'!$AD$40</f>
        <v>0</v>
      </c>
      <c r="E182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82" s="25"/>
      <c r="G182" s="24"/>
      <c r="H182" s="24"/>
      <c r="I182" s="24"/>
      <c r="J182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82" s="27"/>
      <c r="L182" s="27"/>
      <c r="M182" s="27"/>
      <c r="N182" s="28"/>
      <c r="O182" s="34">
        <f t="shared" ca="1" si="12"/>
        <v>43710</v>
      </c>
      <c r="P182" s="30">
        <f>IF(Projeto13[[#This Row],[Iniciada]]&lt;&gt;"",1,0)</f>
        <v>0</v>
      </c>
      <c r="Q182" s="30">
        <f ca="1">IF(Projeto13[[#This Row],[Já iniciada]]=1,0,IF(AND(Projeto13[[#This Row],[Data Início Prevista]]&lt;&gt;0,Projeto13[[#This Row],[éhoje]]&gt;Projeto13[[#This Row],[Data Início Prevista]]),1,0))</f>
        <v>0</v>
      </c>
      <c r="R182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82" s="29">
        <f>IF(Projeto13[[#This Row],[Data Repactuada]]&lt;&gt;"",1,0)</f>
        <v>0</v>
      </c>
      <c r="T182" s="30">
        <f>IF(Projeto13[[#This Row],[Concluída]]&lt;&gt;"",1,0)</f>
        <v>0</v>
      </c>
    </row>
    <row r="183" spans="2:20" s="22" customFormat="1" ht="15.75" hidden="1" outlineLevel="1" x14ac:dyDescent="0.25">
      <c r="B183" s="44">
        <f>'13'!$B$41</f>
        <v>0</v>
      </c>
      <c r="C183" s="45">
        <f>'13'!$Z$41</f>
        <v>0</v>
      </c>
      <c r="D183" s="45">
        <f>'13'!$AD$41</f>
        <v>0</v>
      </c>
      <c r="E183" s="26" t="str">
        <f ca="1">IF(Projeto13[[#This Row],[Data Início Prevista]]&lt;&gt;"",IF(Projeto13[[#This Row],[Concluída]]&lt;&gt;"","Concluída",IF(Projeto13[[#This Row],[atraso inicio]]=1,"Atrasada",IF(Projeto13[[#This Row],[atraso FIM]]=1,"Atrasada",IF(Projeto13[[#This Row],[Cancelada]]&lt;&gt;"","Cancelada",IF(Projeto13[[#This Row],[Iniciada]]&lt;&gt;"","Iniciada",""))))))</f>
        <v/>
      </c>
      <c r="F183" s="25"/>
      <c r="G183" s="24"/>
      <c r="H183" s="24"/>
      <c r="I183" s="24"/>
      <c r="J183" s="37" t="str">
        <f ca="1">IF(Projeto13[[#This Row],[Status]]&lt;&gt;"Concluída","",IF(Projeto13[[#This Row],[Data Fim Real da Fase]]="","",IF(AND(Projeto13[[#This Row],[Status]]="Concluída",Projeto13[[#This Row],[Data Fim Real da Fase]]&lt;&gt;"",Projeto13[[#This Row],[Data Repactuada]]&lt;&gt;""),Projeto13[[#This Row],[Data Fim Real da Fase]]-Projeto13[[#This Row],[Data Repactuada]],Projeto13[[#This Row],[Data Fim Real da Fase]]-Projeto13[[#This Row],[Data Fim Prevista]])))</f>
        <v/>
      </c>
      <c r="K183" s="27"/>
      <c r="L183" s="27"/>
      <c r="M183" s="27"/>
      <c r="N183" s="28"/>
      <c r="O183" s="34">
        <f t="shared" ca="1" si="12"/>
        <v>43710</v>
      </c>
      <c r="P183" s="30">
        <f>IF(Projeto13[[#This Row],[Iniciada]]&lt;&gt;"",1,0)</f>
        <v>0</v>
      </c>
      <c r="Q183" s="30">
        <f ca="1">IF(Projeto13[[#This Row],[Já iniciada]]=1,0,IF(AND(Projeto13[[#This Row],[Data Início Prevista]]&lt;&gt;0,Projeto13[[#This Row],[éhoje]]&gt;Projeto13[[#This Row],[Data Início Prevista]]),1,0))</f>
        <v>0</v>
      </c>
      <c r="R183" s="30">
        <f>IF(Projeto13[[#This Row],[Concluido]]=1,0,IF(Projeto13[[#This Row],[Cancelada]]&lt;&gt;"",0,IF(Projeto13[[#This Row],[Data Fim Prevista]]=0,0,IF(Projeto13[[#This Row],[Repact]]=1,IF(Projeto13[[#This Row],[éhoje]]&lt;Projeto13[[#This Row],[Data Repactuada]],0,1),IF(Projeto13[[#This Row],[éhoje]]&gt;Projeto13[[#This Row],[Data Fim Prevista]],1,0)))))</f>
        <v>0</v>
      </c>
      <c r="S183" s="29">
        <f>IF(Projeto13[[#This Row],[Data Repactuada]]&lt;&gt;"",1,0)</f>
        <v>0</v>
      </c>
      <c r="T183" s="30">
        <f>IF(Projeto13[[#This Row],[Concluída]]&lt;&gt;"",1,0)</f>
        <v>0</v>
      </c>
    </row>
    <row r="184" spans="2:20" collapsed="1" x14ac:dyDescent="0.25"/>
    <row r="185" spans="2:20" x14ac:dyDescent="0.25"/>
    <row r="186" spans="2:20" s="43" customFormat="1" ht="21" customHeight="1" x14ac:dyDescent="0.25">
      <c r="B186" s="38" t="s">
        <v>154</v>
      </c>
      <c r="C186" s="129" t="str">
        <f>'14'!$H$6</f>
        <v>&lt;Nome curto / apelido / código do projeto &gt;</v>
      </c>
      <c r="D186" s="129"/>
      <c r="E186" s="129"/>
      <c r="F186" s="129"/>
      <c r="G186" s="129"/>
      <c r="H186" s="68" t="s">
        <v>138</v>
      </c>
      <c r="I186" s="39">
        <f>'14'!$H$11</f>
        <v>0</v>
      </c>
      <c r="J186" s="40" t="s">
        <v>140</v>
      </c>
      <c r="K186" s="39">
        <f>'14'!$AB$11</f>
        <v>0</v>
      </c>
      <c r="L186" s="41"/>
      <c r="M186" s="42"/>
      <c r="O186" s="47" t="s">
        <v>150</v>
      </c>
      <c r="P186" s="46"/>
      <c r="Q186" s="46"/>
      <c r="R186" s="46"/>
      <c r="S186" s="46"/>
      <c r="T186" s="46"/>
    </row>
    <row r="187" spans="2:20" s="23" customFormat="1" ht="31.5" hidden="1" customHeight="1" outlineLevel="1" x14ac:dyDescent="0.2">
      <c r="B187" s="31" t="s">
        <v>37</v>
      </c>
      <c r="C187" s="31" t="s">
        <v>139</v>
      </c>
      <c r="D187" s="31" t="s">
        <v>137</v>
      </c>
      <c r="E187" s="31" t="s">
        <v>116</v>
      </c>
      <c r="F187" s="31" t="s">
        <v>117</v>
      </c>
      <c r="G187" s="31" t="s">
        <v>118</v>
      </c>
      <c r="H187" s="31" t="s">
        <v>119</v>
      </c>
      <c r="I187" s="31" t="s">
        <v>120</v>
      </c>
      <c r="J187" s="31" t="s">
        <v>121</v>
      </c>
      <c r="K187" s="32" t="s">
        <v>122</v>
      </c>
      <c r="L187" s="32" t="s">
        <v>123</v>
      </c>
      <c r="M187" s="32" t="s">
        <v>124</v>
      </c>
      <c r="N187" s="28" t="s">
        <v>125</v>
      </c>
      <c r="O187" s="33" t="s">
        <v>126</v>
      </c>
      <c r="P187" s="32" t="s">
        <v>127</v>
      </c>
      <c r="Q187" s="32" t="s">
        <v>128</v>
      </c>
      <c r="R187" s="32" t="s">
        <v>129</v>
      </c>
      <c r="S187" s="32" t="s">
        <v>130</v>
      </c>
      <c r="T187" s="32" t="s">
        <v>131</v>
      </c>
    </row>
    <row r="188" spans="2:20" s="22" customFormat="1" ht="15.75" hidden="1" outlineLevel="1" x14ac:dyDescent="0.25">
      <c r="B188" s="44">
        <f>'14'!$B$32</f>
        <v>0</v>
      </c>
      <c r="C188" s="45">
        <f>'14'!$Z$32</f>
        <v>0</v>
      </c>
      <c r="D188" s="45">
        <f>'14'!$AD$32</f>
        <v>0</v>
      </c>
      <c r="E188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88" s="25" t="s">
        <v>248</v>
      </c>
      <c r="G188" s="25"/>
      <c r="H188" s="24"/>
      <c r="I188" s="25">
        <v>43647</v>
      </c>
      <c r="J188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88" s="27"/>
      <c r="L188" s="27"/>
      <c r="M188" s="27"/>
      <c r="N188" s="28"/>
      <c r="O188" s="34">
        <f t="shared" ref="O188:O197" ca="1" si="13">TODAY()</f>
        <v>43710</v>
      </c>
      <c r="P188" s="30">
        <f>IF(Projeto14[[#This Row],[Iniciada]]&lt;&gt;"",1,0)</f>
        <v>0</v>
      </c>
      <c r="Q188" s="30">
        <f ca="1">IF(Projeto14[[#This Row],[Já iniciada]]=1,0,IF(AND(Projeto14[[#This Row],[Data Início Prevista]]&lt;&gt;0,Projeto14[[#This Row],[éhoje]]&gt;Projeto14[[#This Row],[Data Início Prevista]]),1,0))</f>
        <v>0</v>
      </c>
      <c r="R188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88" s="29">
        <f>IF(Projeto14[[#This Row],[Data Repactuada]]&lt;&gt;"",1,0)</f>
        <v>0</v>
      </c>
      <c r="T188" s="30">
        <f>IF(Projeto14[[#This Row],[Concluída]]&lt;&gt;"",1,0)</f>
        <v>0</v>
      </c>
    </row>
    <row r="189" spans="2:20" s="22" customFormat="1" ht="15.75" hidden="1" outlineLevel="1" x14ac:dyDescent="0.25">
      <c r="B189" s="44">
        <f>'14'!$B$33</f>
        <v>0</v>
      </c>
      <c r="C189" s="45">
        <f>'14'!$Z$33</f>
        <v>0</v>
      </c>
      <c r="D189" s="45">
        <f>'14'!$AD$33</f>
        <v>0</v>
      </c>
      <c r="E189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89" s="25"/>
      <c r="G189" s="24"/>
      <c r="H189" s="24"/>
      <c r="I189" s="24"/>
      <c r="J189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89" s="27"/>
      <c r="L189" s="27"/>
      <c r="M189" s="27"/>
      <c r="N189" s="28"/>
      <c r="O189" s="34">
        <f t="shared" ca="1" si="13"/>
        <v>43710</v>
      </c>
      <c r="P189" s="30">
        <f>IF(Projeto14[[#This Row],[Iniciada]]&lt;&gt;"",1,0)</f>
        <v>0</v>
      </c>
      <c r="Q189" s="30">
        <f ca="1">IF(Projeto14[[#This Row],[Já iniciada]]=1,0,IF(AND(Projeto14[[#This Row],[Data Início Prevista]]&lt;&gt;0,Projeto14[[#This Row],[éhoje]]&gt;Projeto14[[#This Row],[Data Início Prevista]]),1,0))</f>
        <v>0</v>
      </c>
      <c r="R189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89" s="29">
        <f>IF(Projeto14[[#This Row],[Data Repactuada]]&lt;&gt;"",1,0)</f>
        <v>0</v>
      </c>
      <c r="T189" s="30">
        <f>IF(Projeto14[[#This Row],[Concluída]]&lt;&gt;"",1,0)</f>
        <v>0</v>
      </c>
    </row>
    <row r="190" spans="2:20" s="22" customFormat="1" ht="15.75" hidden="1" outlineLevel="1" x14ac:dyDescent="0.25">
      <c r="B190" s="44">
        <f>'14'!$B$34</f>
        <v>0</v>
      </c>
      <c r="C190" s="45">
        <f>'14'!$Z$34</f>
        <v>0</v>
      </c>
      <c r="D190" s="45">
        <f>'14'!$AD$34</f>
        <v>0</v>
      </c>
      <c r="E190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90" s="25"/>
      <c r="G190" s="24"/>
      <c r="H190" s="24"/>
      <c r="I190" s="24"/>
      <c r="J190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90" s="27"/>
      <c r="L190" s="27"/>
      <c r="M190" s="27"/>
      <c r="N190" s="28"/>
      <c r="O190" s="34">
        <f t="shared" ca="1" si="13"/>
        <v>43710</v>
      </c>
      <c r="P190" s="30">
        <f>IF(Projeto14[[#This Row],[Iniciada]]&lt;&gt;"",1,0)</f>
        <v>0</v>
      </c>
      <c r="Q190" s="30">
        <f ca="1">IF(Projeto14[[#This Row],[Já iniciada]]=1,0,IF(AND(Projeto14[[#This Row],[Data Início Prevista]]&lt;&gt;0,Projeto14[[#This Row],[éhoje]]&gt;Projeto14[[#This Row],[Data Início Prevista]]),1,0))</f>
        <v>0</v>
      </c>
      <c r="R190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90" s="29">
        <f>IF(Projeto14[[#This Row],[Data Repactuada]]&lt;&gt;"",1,0)</f>
        <v>0</v>
      </c>
      <c r="T190" s="30">
        <f>IF(Projeto14[[#This Row],[Concluída]]&lt;&gt;"",1,0)</f>
        <v>0</v>
      </c>
    </row>
    <row r="191" spans="2:20" s="22" customFormat="1" ht="15.75" hidden="1" outlineLevel="1" x14ac:dyDescent="0.25">
      <c r="B191" s="44">
        <f>'14'!$B$35</f>
        <v>0</v>
      </c>
      <c r="C191" s="45">
        <f>'14'!$Z$35</f>
        <v>0</v>
      </c>
      <c r="D191" s="45">
        <f>'14'!$AD$35</f>
        <v>0</v>
      </c>
      <c r="E191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91" s="25"/>
      <c r="G191" s="24"/>
      <c r="H191" s="24"/>
      <c r="I191" s="24"/>
      <c r="J191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91" s="27"/>
      <c r="L191" s="27"/>
      <c r="M191" s="27"/>
      <c r="N191" s="28"/>
      <c r="O191" s="34">
        <f t="shared" ca="1" si="13"/>
        <v>43710</v>
      </c>
      <c r="P191" s="30">
        <f>IF(Projeto14[[#This Row],[Iniciada]]&lt;&gt;"",1,0)</f>
        <v>0</v>
      </c>
      <c r="Q191" s="30">
        <f ca="1">IF(Projeto14[[#This Row],[Já iniciada]]=1,0,IF(AND(Projeto14[[#This Row],[Data Início Prevista]]&lt;&gt;0,Projeto14[[#This Row],[éhoje]]&gt;Projeto14[[#This Row],[Data Início Prevista]]),1,0))</f>
        <v>0</v>
      </c>
      <c r="R191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91" s="29">
        <f>IF(Projeto14[[#This Row],[Data Repactuada]]&lt;&gt;"",1,0)</f>
        <v>0</v>
      </c>
      <c r="T191" s="30">
        <f>IF(Projeto14[[#This Row],[Concluída]]&lt;&gt;"",1,0)</f>
        <v>0</v>
      </c>
    </row>
    <row r="192" spans="2:20" s="22" customFormat="1" ht="15.75" hidden="1" outlineLevel="1" x14ac:dyDescent="0.25">
      <c r="B192" s="44">
        <f>'14'!$B$36</f>
        <v>0</v>
      </c>
      <c r="C192" s="45">
        <f>'14'!$Z$36</f>
        <v>0</v>
      </c>
      <c r="D192" s="45">
        <f>'14'!$AD$36</f>
        <v>0</v>
      </c>
      <c r="E192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92" s="25"/>
      <c r="G192" s="24"/>
      <c r="H192" s="24"/>
      <c r="I192" s="24"/>
      <c r="J192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92" s="27"/>
      <c r="L192" s="27"/>
      <c r="M192" s="27"/>
      <c r="N192" s="28"/>
      <c r="O192" s="34">
        <f t="shared" ca="1" si="13"/>
        <v>43710</v>
      </c>
      <c r="P192" s="30">
        <f>IF(Projeto14[[#This Row],[Iniciada]]&lt;&gt;"",1,0)</f>
        <v>0</v>
      </c>
      <c r="Q192" s="30">
        <f ca="1">IF(Projeto14[[#This Row],[Já iniciada]]=1,0,IF(AND(Projeto14[[#This Row],[Data Início Prevista]]&lt;&gt;0,Projeto14[[#This Row],[éhoje]]&gt;Projeto14[[#This Row],[Data Início Prevista]]),1,0))</f>
        <v>0</v>
      </c>
      <c r="R192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92" s="29">
        <f>IF(Projeto14[[#This Row],[Data Repactuada]]&lt;&gt;"",1,0)</f>
        <v>0</v>
      </c>
      <c r="T192" s="30">
        <f>IF(Projeto14[[#This Row],[Concluída]]&lt;&gt;"",1,0)</f>
        <v>0</v>
      </c>
    </row>
    <row r="193" spans="2:20" s="22" customFormat="1" ht="15.75" hidden="1" outlineLevel="1" x14ac:dyDescent="0.25">
      <c r="B193" s="44">
        <f>'14'!$B$37</f>
        <v>0</v>
      </c>
      <c r="C193" s="45">
        <f>'14'!$Z$37</f>
        <v>0</v>
      </c>
      <c r="D193" s="45">
        <f>'14'!$AD$37</f>
        <v>0</v>
      </c>
      <c r="E193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93" s="25"/>
      <c r="G193" s="24"/>
      <c r="H193" s="24"/>
      <c r="I193" s="24"/>
      <c r="J193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93" s="27"/>
      <c r="L193" s="27"/>
      <c r="M193" s="27"/>
      <c r="N193" s="28"/>
      <c r="O193" s="34">
        <f t="shared" ca="1" si="13"/>
        <v>43710</v>
      </c>
      <c r="P193" s="30">
        <f>IF(Projeto14[[#This Row],[Iniciada]]&lt;&gt;"",1,0)</f>
        <v>0</v>
      </c>
      <c r="Q193" s="30">
        <f ca="1">IF(Projeto14[[#This Row],[Já iniciada]]=1,0,IF(AND(Projeto14[[#This Row],[Data Início Prevista]]&lt;&gt;0,Projeto14[[#This Row],[éhoje]]&gt;Projeto14[[#This Row],[Data Início Prevista]]),1,0))</f>
        <v>0</v>
      </c>
      <c r="R193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93" s="29">
        <f>IF(Projeto14[[#This Row],[Data Repactuada]]&lt;&gt;"",1,0)</f>
        <v>0</v>
      </c>
      <c r="T193" s="30">
        <f>IF(Projeto14[[#This Row],[Concluída]]&lt;&gt;"",1,0)</f>
        <v>0</v>
      </c>
    </row>
    <row r="194" spans="2:20" s="22" customFormat="1" ht="15.75" hidden="1" outlineLevel="1" x14ac:dyDescent="0.25">
      <c r="B194" s="44">
        <f>'14'!$B$38</f>
        <v>0</v>
      </c>
      <c r="C194" s="45">
        <f>'14'!$Z$38</f>
        <v>0</v>
      </c>
      <c r="D194" s="45">
        <f>'14'!$AD$38</f>
        <v>0</v>
      </c>
      <c r="E194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94" s="25"/>
      <c r="G194" s="24"/>
      <c r="H194" s="24"/>
      <c r="I194" s="24"/>
      <c r="J194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94" s="27"/>
      <c r="L194" s="27"/>
      <c r="M194" s="27"/>
      <c r="N194" s="28"/>
      <c r="O194" s="34">
        <f t="shared" ca="1" si="13"/>
        <v>43710</v>
      </c>
      <c r="P194" s="30">
        <f>IF(Projeto14[[#This Row],[Iniciada]]&lt;&gt;"",1,0)</f>
        <v>0</v>
      </c>
      <c r="Q194" s="30">
        <f ca="1">IF(Projeto14[[#This Row],[Já iniciada]]=1,0,IF(AND(Projeto14[[#This Row],[Data Início Prevista]]&lt;&gt;0,Projeto14[[#This Row],[éhoje]]&gt;Projeto14[[#This Row],[Data Início Prevista]]),1,0))</f>
        <v>0</v>
      </c>
      <c r="R194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94" s="29">
        <f>IF(Projeto14[[#This Row],[Data Repactuada]]&lt;&gt;"",1,0)</f>
        <v>0</v>
      </c>
      <c r="T194" s="30">
        <f>IF(Projeto14[[#This Row],[Concluída]]&lt;&gt;"",1,0)</f>
        <v>0</v>
      </c>
    </row>
    <row r="195" spans="2:20" s="22" customFormat="1" ht="15.75" hidden="1" outlineLevel="1" x14ac:dyDescent="0.25">
      <c r="B195" s="44">
        <f>'14'!$B$39</f>
        <v>0</v>
      </c>
      <c r="C195" s="45">
        <f>'14'!$Z$39</f>
        <v>0</v>
      </c>
      <c r="D195" s="45">
        <f>'14'!$AD$39</f>
        <v>0</v>
      </c>
      <c r="E195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95" s="25"/>
      <c r="G195" s="24"/>
      <c r="H195" s="24"/>
      <c r="I195" s="24"/>
      <c r="J195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95" s="27"/>
      <c r="L195" s="27"/>
      <c r="M195" s="27"/>
      <c r="N195" s="28"/>
      <c r="O195" s="34">
        <f t="shared" ca="1" si="13"/>
        <v>43710</v>
      </c>
      <c r="P195" s="30">
        <f>IF(Projeto14[[#This Row],[Iniciada]]&lt;&gt;"",1,0)</f>
        <v>0</v>
      </c>
      <c r="Q195" s="30">
        <f ca="1">IF(Projeto14[[#This Row],[Já iniciada]]=1,0,IF(AND(Projeto14[[#This Row],[Data Início Prevista]]&lt;&gt;0,Projeto14[[#This Row],[éhoje]]&gt;Projeto14[[#This Row],[Data Início Prevista]]),1,0))</f>
        <v>0</v>
      </c>
      <c r="R195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95" s="29">
        <f>IF(Projeto14[[#This Row],[Data Repactuada]]&lt;&gt;"",1,0)</f>
        <v>0</v>
      </c>
      <c r="T195" s="30">
        <f>IF(Projeto14[[#This Row],[Concluída]]&lt;&gt;"",1,0)</f>
        <v>0</v>
      </c>
    </row>
    <row r="196" spans="2:20" s="22" customFormat="1" ht="15.75" hidden="1" outlineLevel="1" x14ac:dyDescent="0.25">
      <c r="B196" s="44">
        <f>'14'!$B$40</f>
        <v>0</v>
      </c>
      <c r="C196" s="45">
        <f>'14'!$Z$40</f>
        <v>0</v>
      </c>
      <c r="D196" s="45">
        <f>'14'!$AD$40</f>
        <v>0</v>
      </c>
      <c r="E196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96" s="25"/>
      <c r="G196" s="24"/>
      <c r="H196" s="24"/>
      <c r="I196" s="24"/>
      <c r="J196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96" s="27"/>
      <c r="L196" s="27"/>
      <c r="M196" s="27"/>
      <c r="N196" s="28"/>
      <c r="O196" s="34">
        <f t="shared" ca="1" si="13"/>
        <v>43710</v>
      </c>
      <c r="P196" s="30">
        <f>IF(Projeto14[[#This Row],[Iniciada]]&lt;&gt;"",1,0)</f>
        <v>0</v>
      </c>
      <c r="Q196" s="30">
        <f ca="1">IF(Projeto14[[#This Row],[Já iniciada]]=1,0,IF(AND(Projeto14[[#This Row],[Data Início Prevista]]&lt;&gt;0,Projeto14[[#This Row],[éhoje]]&gt;Projeto14[[#This Row],[Data Início Prevista]]),1,0))</f>
        <v>0</v>
      </c>
      <c r="R196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96" s="29">
        <f>IF(Projeto14[[#This Row],[Data Repactuada]]&lt;&gt;"",1,0)</f>
        <v>0</v>
      </c>
      <c r="T196" s="30">
        <f>IF(Projeto14[[#This Row],[Concluída]]&lt;&gt;"",1,0)</f>
        <v>0</v>
      </c>
    </row>
    <row r="197" spans="2:20" s="22" customFormat="1" ht="15.75" hidden="1" outlineLevel="1" x14ac:dyDescent="0.25">
      <c r="B197" s="44">
        <f>'14'!$B$41</f>
        <v>0</v>
      </c>
      <c r="C197" s="45">
        <f>'14'!$Z$41</f>
        <v>0</v>
      </c>
      <c r="D197" s="45">
        <f>'14'!$AD$41</f>
        <v>0</v>
      </c>
      <c r="E197" s="26" t="str">
        <f ca="1">IF(Projeto14[[#This Row],[Data Início Prevista]]&lt;&gt;"",IF(Projeto14[[#This Row],[Concluída]]&lt;&gt;"","Concluída",IF(Projeto14[[#This Row],[atraso inicio]]=1,"Atrasada",IF(Projeto14[[#This Row],[atraso FIM]]=1,"Atrasada",IF(Projeto14[[#This Row],[Cancelada]]&lt;&gt;"","Cancelada",IF(Projeto14[[#This Row],[Iniciada]]&lt;&gt;"","Iniciada",""))))))</f>
        <v/>
      </c>
      <c r="F197" s="25"/>
      <c r="G197" s="24"/>
      <c r="H197" s="24"/>
      <c r="I197" s="24"/>
      <c r="J197" s="37" t="str">
        <f ca="1">IF(Projeto14[[#This Row],[Status]]&lt;&gt;"Concluída","",IF(Projeto14[[#This Row],[Data Fim Real da Fase]]="","",IF(AND(Projeto14[[#This Row],[Status]]="Concluída",Projeto14[[#This Row],[Data Fim Real da Fase]]&lt;&gt;"",Projeto14[[#This Row],[Data Repactuada]]&lt;&gt;""),Projeto14[[#This Row],[Data Fim Real da Fase]]-Projeto14[[#This Row],[Data Repactuada]],Projeto14[[#This Row],[Data Fim Real da Fase]]-Projeto14[[#This Row],[Data Fim Prevista]])))</f>
        <v/>
      </c>
      <c r="K197" s="27"/>
      <c r="L197" s="27"/>
      <c r="M197" s="27"/>
      <c r="N197" s="28"/>
      <c r="O197" s="34">
        <f t="shared" ca="1" si="13"/>
        <v>43710</v>
      </c>
      <c r="P197" s="30">
        <f>IF(Projeto14[[#This Row],[Iniciada]]&lt;&gt;"",1,0)</f>
        <v>0</v>
      </c>
      <c r="Q197" s="30">
        <f ca="1">IF(Projeto14[[#This Row],[Já iniciada]]=1,0,IF(AND(Projeto14[[#This Row],[Data Início Prevista]]&lt;&gt;0,Projeto14[[#This Row],[éhoje]]&gt;Projeto14[[#This Row],[Data Início Prevista]]),1,0))</f>
        <v>0</v>
      </c>
      <c r="R197" s="30">
        <f>IF(Projeto14[[#This Row],[Concluido]]=1,0,IF(Projeto14[[#This Row],[Cancelada]]&lt;&gt;"",0,IF(Projeto14[[#This Row],[Data Fim Prevista]]=0,0,IF(Projeto14[[#This Row],[Repact]]=1,IF(Projeto14[[#This Row],[éhoje]]&lt;Projeto14[[#This Row],[Data Repactuada]],0,1),IF(Projeto14[[#This Row],[éhoje]]&gt;Projeto14[[#This Row],[Data Fim Prevista]],1,0)))))</f>
        <v>0</v>
      </c>
      <c r="S197" s="29">
        <f>IF(Projeto14[[#This Row],[Data Repactuada]]&lt;&gt;"",1,0)</f>
        <v>0</v>
      </c>
      <c r="T197" s="30">
        <f>IF(Projeto14[[#This Row],[Concluída]]&lt;&gt;"",1,0)</f>
        <v>0</v>
      </c>
    </row>
    <row r="198" spans="2:20" collapsed="1" x14ac:dyDescent="0.25"/>
    <row r="199" spans="2:20" x14ac:dyDescent="0.25"/>
    <row r="200" spans="2:20" s="43" customFormat="1" ht="21" customHeight="1" x14ac:dyDescent="0.25">
      <c r="B200" s="38" t="s">
        <v>155</v>
      </c>
      <c r="C200" s="129" t="str">
        <f>'15'!$H$6</f>
        <v>&lt;Nome curto / apelido / código do projeto &gt;</v>
      </c>
      <c r="D200" s="129"/>
      <c r="E200" s="129"/>
      <c r="F200" s="129"/>
      <c r="G200" s="129"/>
      <c r="H200" s="68" t="s">
        <v>138</v>
      </c>
      <c r="I200" s="39">
        <f>'15'!$H$11</f>
        <v>0</v>
      </c>
      <c r="J200" s="40" t="s">
        <v>140</v>
      </c>
      <c r="K200" s="39">
        <f>'15'!$AB$11</f>
        <v>0</v>
      </c>
      <c r="L200" s="41"/>
      <c r="M200" s="42"/>
      <c r="O200" s="47" t="s">
        <v>150</v>
      </c>
      <c r="P200" s="46"/>
      <c r="Q200" s="46"/>
      <c r="R200" s="46"/>
      <c r="S200" s="46"/>
      <c r="T200" s="46"/>
    </row>
    <row r="201" spans="2:20" s="23" customFormat="1" ht="31.5" hidden="1" customHeight="1" outlineLevel="1" x14ac:dyDescent="0.2">
      <c r="B201" s="31" t="s">
        <v>37</v>
      </c>
      <c r="C201" s="31" t="s">
        <v>139</v>
      </c>
      <c r="D201" s="31" t="s">
        <v>137</v>
      </c>
      <c r="E201" s="31" t="s">
        <v>116</v>
      </c>
      <c r="F201" s="31" t="s">
        <v>117</v>
      </c>
      <c r="G201" s="31" t="s">
        <v>118</v>
      </c>
      <c r="H201" s="31" t="s">
        <v>119</v>
      </c>
      <c r="I201" s="31" t="s">
        <v>120</v>
      </c>
      <c r="J201" s="31" t="s">
        <v>121</v>
      </c>
      <c r="K201" s="32" t="s">
        <v>122</v>
      </c>
      <c r="L201" s="32" t="s">
        <v>123</v>
      </c>
      <c r="M201" s="32" t="s">
        <v>124</v>
      </c>
      <c r="N201" s="28" t="s">
        <v>125</v>
      </c>
      <c r="O201" s="33" t="s">
        <v>126</v>
      </c>
      <c r="P201" s="32" t="s">
        <v>127</v>
      </c>
      <c r="Q201" s="32" t="s">
        <v>128</v>
      </c>
      <c r="R201" s="32" t="s">
        <v>129</v>
      </c>
      <c r="S201" s="32" t="s">
        <v>130</v>
      </c>
      <c r="T201" s="32" t="s">
        <v>131</v>
      </c>
    </row>
    <row r="202" spans="2:20" s="22" customFormat="1" ht="15.75" hidden="1" outlineLevel="1" x14ac:dyDescent="0.25">
      <c r="B202" s="44">
        <f>'15'!$B$32</f>
        <v>0</v>
      </c>
      <c r="C202" s="45">
        <f>'15'!$Z$32</f>
        <v>0</v>
      </c>
      <c r="D202" s="45">
        <f>'15'!$AD$32</f>
        <v>0</v>
      </c>
      <c r="E202" s="26" t="str">
        <f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>Concluída</v>
      </c>
      <c r="F202" s="25" t="s">
        <v>248</v>
      </c>
      <c r="G202" s="25"/>
      <c r="H202" s="24"/>
      <c r="I202" s="25">
        <v>43647</v>
      </c>
      <c r="J202" s="37">
        <f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>43647</v>
      </c>
      <c r="K202" s="27"/>
      <c r="L202" s="27">
        <v>43559</v>
      </c>
      <c r="M202" s="27"/>
      <c r="N202" s="28"/>
      <c r="O202" s="34">
        <f t="shared" ref="O202:O211" ca="1" si="14">TODAY()</f>
        <v>43710</v>
      </c>
      <c r="P202" s="30">
        <f>IF(Projeto15[[#This Row],[Iniciada]]&lt;&gt;"",1,0)</f>
        <v>0</v>
      </c>
      <c r="Q202" s="30">
        <f ca="1">IF(Projeto15[[#This Row],[Já iniciada]]=1,0,IF(AND(Projeto15[[#This Row],[Data Início Prevista]]&lt;&gt;0,Projeto15[[#This Row],[éhoje]]&gt;Projeto15[[#This Row],[Data Início Prevista]]),1,0))</f>
        <v>0</v>
      </c>
      <c r="R202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02" s="29">
        <f>IF(Projeto15[[#This Row],[Data Repactuada]]&lt;&gt;"",1,0)</f>
        <v>0</v>
      </c>
      <c r="T202" s="30">
        <f>IF(Projeto15[[#This Row],[Concluída]]&lt;&gt;"",1,0)</f>
        <v>1</v>
      </c>
    </row>
    <row r="203" spans="2:20" s="22" customFormat="1" ht="15.75" hidden="1" outlineLevel="1" x14ac:dyDescent="0.25">
      <c r="B203" s="44">
        <f>'15'!$B$33</f>
        <v>0</v>
      </c>
      <c r="C203" s="45">
        <f>'15'!$Z$33</f>
        <v>0</v>
      </c>
      <c r="D203" s="45">
        <f>'15'!$AD$33</f>
        <v>0</v>
      </c>
      <c r="E203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03" s="25"/>
      <c r="G203" s="24"/>
      <c r="H203" s="24"/>
      <c r="I203" s="24"/>
      <c r="J203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03" s="27"/>
      <c r="L203" s="27"/>
      <c r="M203" s="27"/>
      <c r="N203" s="28"/>
      <c r="O203" s="34">
        <f t="shared" ca="1" si="14"/>
        <v>43710</v>
      </c>
      <c r="P203" s="30">
        <f>IF(Projeto15[[#This Row],[Iniciada]]&lt;&gt;"",1,0)</f>
        <v>0</v>
      </c>
      <c r="Q203" s="30">
        <f ca="1">IF(Projeto15[[#This Row],[Já iniciada]]=1,0,IF(AND(Projeto15[[#This Row],[Data Início Prevista]]&lt;&gt;0,Projeto15[[#This Row],[éhoje]]&gt;Projeto15[[#This Row],[Data Início Prevista]]),1,0))</f>
        <v>0</v>
      </c>
      <c r="R203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03" s="29">
        <f>IF(Projeto15[[#This Row],[Data Repactuada]]&lt;&gt;"",1,0)</f>
        <v>0</v>
      </c>
      <c r="T203" s="30">
        <f>IF(Projeto15[[#This Row],[Concluída]]&lt;&gt;"",1,0)</f>
        <v>0</v>
      </c>
    </row>
    <row r="204" spans="2:20" s="22" customFormat="1" ht="15.75" hidden="1" outlineLevel="1" x14ac:dyDescent="0.25">
      <c r="B204" s="44">
        <f>'15'!$B$34</f>
        <v>0</v>
      </c>
      <c r="C204" s="45">
        <f>'15'!$Z$34</f>
        <v>0</v>
      </c>
      <c r="D204" s="45">
        <f>'15'!$AD$34</f>
        <v>0</v>
      </c>
      <c r="E204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04" s="25"/>
      <c r="G204" s="24"/>
      <c r="H204" s="24"/>
      <c r="I204" s="24"/>
      <c r="J204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04" s="27"/>
      <c r="L204" s="27"/>
      <c r="M204" s="27"/>
      <c r="N204" s="28"/>
      <c r="O204" s="34">
        <f t="shared" ca="1" si="14"/>
        <v>43710</v>
      </c>
      <c r="P204" s="30">
        <f>IF(Projeto15[[#This Row],[Iniciada]]&lt;&gt;"",1,0)</f>
        <v>0</v>
      </c>
      <c r="Q204" s="30">
        <f ca="1">IF(Projeto15[[#This Row],[Já iniciada]]=1,0,IF(AND(Projeto15[[#This Row],[Data Início Prevista]]&lt;&gt;0,Projeto15[[#This Row],[éhoje]]&gt;Projeto15[[#This Row],[Data Início Prevista]]),1,0))</f>
        <v>0</v>
      </c>
      <c r="R204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04" s="29">
        <f>IF(Projeto15[[#This Row],[Data Repactuada]]&lt;&gt;"",1,0)</f>
        <v>0</v>
      </c>
      <c r="T204" s="30">
        <f>IF(Projeto15[[#This Row],[Concluída]]&lt;&gt;"",1,0)</f>
        <v>0</v>
      </c>
    </row>
    <row r="205" spans="2:20" s="22" customFormat="1" ht="15.75" hidden="1" outlineLevel="1" x14ac:dyDescent="0.25">
      <c r="B205" s="44">
        <f>'15'!$B$35</f>
        <v>0</v>
      </c>
      <c r="C205" s="45">
        <f>'15'!$Z$35</f>
        <v>0</v>
      </c>
      <c r="D205" s="45">
        <f>'15'!$AD$35</f>
        <v>0</v>
      </c>
      <c r="E205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05" s="25"/>
      <c r="G205" s="24"/>
      <c r="H205" s="24"/>
      <c r="I205" s="24"/>
      <c r="J205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05" s="27"/>
      <c r="L205" s="27"/>
      <c r="M205" s="27"/>
      <c r="N205" s="28"/>
      <c r="O205" s="34">
        <f t="shared" ca="1" si="14"/>
        <v>43710</v>
      </c>
      <c r="P205" s="30">
        <f>IF(Projeto15[[#This Row],[Iniciada]]&lt;&gt;"",1,0)</f>
        <v>0</v>
      </c>
      <c r="Q205" s="30">
        <f ca="1">IF(Projeto15[[#This Row],[Já iniciada]]=1,0,IF(AND(Projeto15[[#This Row],[Data Início Prevista]]&lt;&gt;0,Projeto15[[#This Row],[éhoje]]&gt;Projeto15[[#This Row],[Data Início Prevista]]),1,0))</f>
        <v>0</v>
      </c>
      <c r="R205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05" s="29">
        <f>IF(Projeto15[[#This Row],[Data Repactuada]]&lt;&gt;"",1,0)</f>
        <v>0</v>
      </c>
      <c r="T205" s="30">
        <f>IF(Projeto15[[#This Row],[Concluída]]&lt;&gt;"",1,0)</f>
        <v>0</v>
      </c>
    </row>
    <row r="206" spans="2:20" s="22" customFormat="1" ht="15.75" hidden="1" outlineLevel="1" x14ac:dyDescent="0.25">
      <c r="B206" s="44">
        <f>'15'!$B$36</f>
        <v>0</v>
      </c>
      <c r="C206" s="45">
        <f>'15'!$Z$36</f>
        <v>0</v>
      </c>
      <c r="D206" s="45">
        <f>'15'!$AD$36</f>
        <v>0</v>
      </c>
      <c r="E206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06" s="25"/>
      <c r="G206" s="24"/>
      <c r="H206" s="24"/>
      <c r="I206" s="24"/>
      <c r="J206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06" s="27"/>
      <c r="L206" s="27"/>
      <c r="M206" s="27"/>
      <c r="N206" s="28"/>
      <c r="O206" s="34">
        <f t="shared" ca="1" si="14"/>
        <v>43710</v>
      </c>
      <c r="P206" s="30">
        <f>IF(Projeto15[[#This Row],[Iniciada]]&lt;&gt;"",1,0)</f>
        <v>0</v>
      </c>
      <c r="Q206" s="30">
        <f ca="1">IF(Projeto15[[#This Row],[Já iniciada]]=1,0,IF(AND(Projeto15[[#This Row],[Data Início Prevista]]&lt;&gt;0,Projeto15[[#This Row],[éhoje]]&gt;Projeto15[[#This Row],[Data Início Prevista]]),1,0))</f>
        <v>0</v>
      </c>
      <c r="R206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06" s="29">
        <f>IF(Projeto15[[#This Row],[Data Repactuada]]&lt;&gt;"",1,0)</f>
        <v>0</v>
      </c>
      <c r="T206" s="30">
        <f>IF(Projeto15[[#This Row],[Concluída]]&lt;&gt;"",1,0)</f>
        <v>0</v>
      </c>
    </row>
    <row r="207" spans="2:20" s="22" customFormat="1" ht="15.75" hidden="1" outlineLevel="1" x14ac:dyDescent="0.25">
      <c r="B207" s="44">
        <f>'15'!$B$37</f>
        <v>0</v>
      </c>
      <c r="C207" s="45">
        <f>'15'!$Z$37</f>
        <v>0</v>
      </c>
      <c r="D207" s="45">
        <f>'15'!$AD$37</f>
        <v>0</v>
      </c>
      <c r="E207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07" s="25"/>
      <c r="G207" s="24"/>
      <c r="H207" s="24"/>
      <c r="I207" s="24"/>
      <c r="J207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07" s="27"/>
      <c r="L207" s="27"/>
      <c r="M207" s="27"/>
      <c r="N207" s="28"/>
      <c r="O207" s="34">
        <f t="shared" ca="1" si="14"/>
        <v>43710</v>
      </c>
      <c r="P207" s="30">
        <f>IF(Projeto15[[#This Row],[Iniciada]]&lt;&gt;"",1,0)</f>
        <v>0</v>
      </c>
      <c r="Q207" s="30">
        <f ca="1">IF(Projeto15[[#This Row],[Já iniciada]]=1,0,IF(AND(Projeto15[[#This Row],[Data Início Prevista]]&lt;&gt;0,Projeto15[[#This Row],[éhoje]]&gt;Projeto15[[#This Row],[Data Início Prevista]]),1,0))</f>
        <v>0</v>
      </c>
      <c r="R207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07" s="29">
        <f>IF(Projeto15[[#This Row],[Data Repactuada]]&lt;&gt;"",1,0)</f>
        <v>0</v>
      </c>
      <c r="T207" s="30">
        <f>IF(Projeto15[[#This Row],[Concluída]]&lt;&gt;"",1,0)</f>
        <v>0</v>
      </c>
    </row>
    <row r="208" spans="2:20" s="22" customFormat="1" ht="15.75" hidden="1" outlineLevel="1" x14ac:dyDescent="0.25">
      <c r="B208" s="44">
        <f>'15'!$B$38</f>
        <v>0</v>
      </c>
      <c r="C208" s="45">
        <f>'15'!$Z$38</f>
        <v>0</v>
      </c>
      <c r="D208" s="45">
        <f>'15'!$AD$38</f>
        <v>0</v>
      </c>
      <c r="E208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08" s="25"/>
      <c r="G208" s="24"/>
      <c r="H208" s="24"/>
      <c r="I208" s="24"/>
      <c r="J208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08" s="27"/>
      <c r="L208" s="27"/>
      <c r="M208" s="27"/>
      <c r="N208" s="28"/>
      <c r="O208" s="34">
        <f t="shared" ca="1" si="14"/>
        <v>43710</v>
      </c>
      <c r="P208" s="30">
        <f>IF(Projeto15[[#This Row],[Iniciada]]&lt;&gt;"",1,0)</f>
        <v>0</v>
      </c>
      <c r="Q208" s="30">
        <f ca="1">IF(Projeto15[[#This Row],[Já iniciada]]=1,0,IF(AND(Projeto15[[#This Row],[Data Início Prevista]]&lt;&gt;0,Projeto15[[#This Row],[éhoje]]&gt;Projeto15[[#This Row],[Data Início Prevista]]),1,0))</f>
        <v>0</v>
      </c>
      <c r="R208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08" s="29">
        <f>IF(Projeto15[[#This Row],[Data Repactuada]]&lt;&gt;"",1,0)</f>
        <v>0</v>
      </c>
      <c r="T208" s="30">
        <f>IF(Projeto15[[#This Row],[Concluída]]&lt;&gt;"",1,0)</f>
        <v>0</v>
      </c>
    </row>
    <row r="209" spans="2:20" s="22" customFormat="1" ht="15.75" hidden="1" outlineLevel="1" x14ac:dyDescent="0.25">
      <c r="B209" s="44">
        <f>'15'!$B$39</f>
        <v>0</v>
      </c>
      <c r="C209" s="45">
        <f>'15'!$Z$39</f>
        <v>0</v>
      </c>
      <c r="D209" s="45">
        <f>'15'!$AD$39</f>
        <v>0</v>
      </c>
      <c r="E209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09" s="25"/>
      <c r="G209" s="24"/>
      <c r="H209" s="24"/>
      <c r="I209" s="24"/>
      <c r="J209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09" s="27"/>
      <c r="L209" s="27"/>
      <c r="M209" s="27"/>
      <c r="N209" s="28"/>
      <c r="O209" s="34">
        <f t="shared" ca="1" si="14"/>
        <v>43710</v>
      </c>
      <c r="P209" s="30">
        <f>IF(Projeto15[[#This Row],[Iniciada]]&lt;&gt;"",1,0)</f>
        <v>0</v>
      </c>
      <c r="Q209" s="30">
        <f ca="1">IF(Projeto15[[#This Row],[Já iniciada]]=1,0,IF(AND(Projeto15[[#This Row],[Data Início Prevista]]&lt;&gt;0,Projeto15[[#This Row],[éhoje]]&gt;Projeto15[[#This Row],[Data Início Prevista]]),1,0))</f>
        <v>0</v>
      </c>
      <c r="R209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09" s="29">
        <f>IF(Projeto15[[#This Row],[Data Repactuada]]&lt;&gt;"",1,0)</f>
        <v>0</v>
      </c>
      <c r="T209" s="30">
        <f>IF(Projeto15[[#This Row],[Concluída]]&lt;&gt;"",1,0)</f>
        <v>0</v>
      </c>
    </row>
    <row r="210" spans="2:20" s="22" customFormat="1" ht="15.75" hidden="1" outlineLevel="1" x14ac:dyDescent="0.25">
      <c r="B210" s="44">
        <f>'15'!$B$40</f>
        <v>0</v>
      </c>
      <c r="C210" s="45">
        <f>'15'!$Z$40</f>
        <v>0</v>
      </c>
      <c r="D210" s="45">
        <f>'15'!$AD$40</f>
        <v>0</v>
      </c>
      <c r="E210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10" s="25"/>
      <c r="G210" s="24"/>
      <c r="H210" s="24"/>
      <c r="I210" s="24"/>
      <c r="J210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10" s="27"/>
      <c r="L210" s="27"/>
      <c r="M210" s="27"/>
      <c r="N210" s="28"/>
      <c r="O210" s="34">
        <f t="shared" ca="1" si="14"/>
        <v>43710</v>
      </c>
      <c r="P210" s="30">
        <f>IF(Projeto15[[#This Row],[Iniciada]]&lt;&gt;"",1,0)</f>
        <v>0</v>
      </c>
      <c r="Q210" s="30">
        <f ca="1">IF(Projeto15[[#This Row],[Já iniciada]]=1,0,IF(AND(Projeto15[[#This Row],[Data Início Prevista]]&lt;&gt;0,Projeto15[[#This Row],[éhoje]]&gt;Projeto15[[#This Row],[Data Início Prevista]]),1,0))</f>
        <v>0</v>
      </c>
      <c r="R210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10" s="29">
        <f>IF(Projeto15[[#This Row],[Data Repactuada]]&lt;&gt;"",1,0)</f>
        <v>0</v>
      </c>
      <c r="T210" s="30">
        <f>IF(Projeto15[[#This Row],[Concluída]]&lt;&gt;"",1,0)</f>
        <v>0</v>
      </c>
    </row>
    <row r="211" spans="2:20" s="22" customFormat="1" ht="15.75" hidden="1" outlineLevel="1" x14ac:dyDescent="0.25">
      <c r="B211" s="44">
        <f>'15'!$B$41</f>
        <v>0</v>
      </c>
      <c r="C211" s="45">
        <f>'15'!$Z$41</f>
        <v>0</v>
      </c>
      <c r="D211" s="45">
        <f>'15'!$AD$41</f>
        <v>0</v>
      </c>
      <c r="E211" s="26" t="str">
        <f ca="1">IF(Projeto15[[#This Row],[Data Início Prevista]]&lt;&gt;"",IF(Projeto15[[#This Row],[Concluída]]&lt;&gt;"","Concluída",IF(Projeto15[[#This Row],[atraso inicio]]=1,"Atrasada",IF(Projeto15[[#This Row],[atraso FIM]]=1,"Atrasada",IF(Projeto15[[#This Row],[Cancelada]]&lt;&gt;"","Cancelada",IF(Projeto15[[#This Row],[Iniciada]]&lt;&gt;"","Iniciada",""))))))</f>
        <v/>
      </c>
      <c r="F211" s="25"/>
      <c r="G211" s="24"/>
      <c r="H211" s="24"/>
      <c r="I211" s="24"/>
      <c r="J211" s="37" t="str">
        <f ca="1">IF(Projeto15[[#This Row],[Status]]&lt;&gt;"Concluída","",IF(Projeto15[[#This Row],[Data Fim Real da Fase]]="","",IF(AND(Projeto15[[#This Row],[Status]]="Concluída",Projeto15[[#This Row],[Data Fim Real da Fase]]&lt;&gt;"",Projeto15[[#This Row],[Data Repactuada]]&lt;&gt;""),Projeto15[[#This Row],[Data Fim Real da Fase]]-Projeto15[[#This Row],[Data Repactuada]],Projeto15[[#This Row],[Data Fim Real da Fase]]-Projeto15[[#This Row],[Data Fim Prevista]])))</f>
        <v/>
      </c>
      <c r="K211" s="27"/>
      <c r="L211" s="27"/>
      <c r="M211" s="27"/>
      <c r="N211" s="28"/>
      <c r="O211" s="34">
        <f t="shared" ca="1" si="14"/>
        <v>43710</v>
      </c>
      <c r="P211" s="30">
        <f>IF(Projeto15[[#This Row],[Iniciada]]&lt;&gt;"",1,0)</f>
        <v>0</v>
      </c>
      <c r="Q211" s="30">
        <f ca="1">IF(Projeto15[[#This Row],[Já iniciada]]=1,0,IF(AND(Projeto15[[#This Row],[Data Início Prevista]]&lt;&gt;0,Projeto15[[#This Row],[éhoje]]&gt;Projeto15[[#This Row],[Data Início Prevista]]),1,0))</f>
        <v>0</v>
      </c>
      <c r="R211" s="30">
        <f>IF(Projeto15[[#This Row],[Concluido]]=1,0,IF(Projeto15[[#This Row],[Cancelada]]&lt;&gt;"",0,IF(Projeto15[[#This Row],[Data Fim Prevista]]=0,0,IF(Projeto15[[#This Row],[Repact]]=1,IF(Projeto15[[#This Row],[éhoje]]&lt;Projeto15[[#This Row],[Data Repactuada]],0,1),IF(Projeto15[[#This Row],[éhoje]]&gt;Projeto15[[#This Row],[Data Fim Prevista]],1,0)))))</f>
        <v>0</v>
      </c>
      <c r="S211" s="29">
        <f>IF(Projeto15[[#This Row],[Data Repactuada]]&lt;&gt;"",1,0)</f>
        <v>0</v>
      </c>
      <c r="T211" s="30">
        <f>IF(Projeto15[[#This Row],[Concluída]]&lt;&gt;"",1,0)</f>
        <v>0</v>
      </c>
    </row>
    <row r="212" spans="2:20" collapsed="1" x14ac:dyDescent="0.25"/>
    <row r="213" spans="2:20" x14ac:dyDescent="0.25"/>
    <row r="214" spans="2:20" s="43" customFormat="1" ht="21" customHeight="1" x14ac:dyDescent="0.25">
      <c r="B214" s="38" t="s">
        <v>156</v>
      </c>
      <c r="C214" s="129" t="str">
        <f>'16'!$H$6</f>
        <v>&lt;Nome curto / apelido / código do projeto &gt;</v>
      </c>
      <c r="D214" s="129"/>
      <c r="E214" s="129"/>
      <c r="F214" s="129"/>
      <c r="G214" s="129"/>
      <c r="H214" s="68" t="s">
        <v>138</v>
      </c>
      <c r="I214" s="39">
        <f>'16'!$H$11</f>
        <v>0</v>
      </c>
      <c r="J214" s="40" t="s">
        <v>140</v>
      </c>
      <c r="K214" s="39">
        <f>'16'!$AB$11</f>
        <v>0</v>
      </c>
      <c r="L214" s="41"/>
      <c r="M214" s="42"/>
      <c r="O214" s="47" t="s">
        <v>150</v>
      </c>
      <c r="P214" s="46"/>
      <c r="Q214" s="46"/>
      <c r="R214" s="46"/>
      <c r="S214" s="46"/>
      <c r="T214" s="46"/>
    </row>
    <row r="215" spans="2:20" s="23" customFormat="1" ht="31.5" hidden="1" customHeight="1" outlineLevel="1" x14ac:dyDescent="0.2">
      <c r="B215" s="31" t="s">
        <v>37</v>
      </c>
      <c r="C215" s="31" t="s">
        <v>139</v>
      </c>
      <c r="D215" s="31" t="s">
        <v>137</v>
      </c>
      <c r="E215" s="31" t="s">
        <v>116</v>
      </c>
      <c r="F215" s="31" t="s">
        <v>117</v>
      </c>
      <c r="G215" s="31" t="s">
        <v>118</v>
      </c>
      <c r="H215" s="31" t="s">
        <v>119</v>
      </c>
      <c r="I215" s="31" t="s">
        <v>120</v>
      </c>
      <c r="J215" s="31" t="s">
        <v>121</v>
      </c>
      <c r="K215" s="32" t="s">
        <v>122</v>
      </c>
      <c r="L215" s="32" t="s">
        <v>123</v>
      </c>
      <c r="M215" s="32" t="s">
        <v>124</v>
      </c>
      <c r="N215" s="28" t="s">
        <v>125</v>
      </c>
      <c r="O215" s="33" t="s">
        <v>126</v>
      </c>
      <c r="P215" s="32" t="s">
        <v>127</v>
      </c>
      <c r="Q215" s="32" t="s">
        <v>128</v>
      </c>
      <c r="R215" s="32" t="s">
        <v>129</v>
      </c>
      <c r="S215" s="32" t="s">
        <v>130</v>
      </c>
      <c r="T215" s="32" t="s">
        <v>131</v>
      </c>
    </row>
    <row r="216" spans="2:20" s="22" customFormat="1" ht="15.75" hidden="1" outlineLevel="1" x14ac:dyDescent="0.25">
      <c r="B216" s="44">
        <f>'16'!$B$32</f>
        <v>0</v>
      </c>
      <c r="C216" s="45">
        <f>'16'!$Z$32</f>
        <v>0</v>
      </c>
      <c r="D216" s="45">
        <f>'16'!$AD$32</f>
        <v>0</v>
      </c>
      <c r="E216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16" s="25" t="s">
        <v>248</v>
      </c>
      <c r="G216" s="25"/>
      <c r="H216" s="24"/>
      <c r="I216" s="25">
        <v>43647</v>
      </c>
      <c r="J216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16" s="27"/>
      <c r="L216" s="27"/>
      <c r="M216" s="27"/>
      <c r="N216" s="28"/>
      <c r="O216" s="34">
        <f t="shared" ref="O216:O225" ca="1" si="15">TODAY()</f>
        <v>43710</v>
      </c>
      <c r="P216" s="30">
        <f>IF(Projeto16[[#This Row],[Iniciada]]&lt;&gt;"",1,0)</f>
        <v>0</v>
      </c>
      <c r="Q216" s="30">
        <f ca="1">IF(Projeto16[[#This Row],[Já iniciada]]=1,0,IF(AND(Projeto16[[#This Row],[Data Início Prevista]]&lt;&gt;0,Projeto16[[#This Row],[éhoje]]&gt;Projeto16[[#This Row],[Data Início Prevista]]),1,0))</f>
        <v>0</v>
      </c>
      <c r="R216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16" s="29">
        <f>IF(Projeto16[[#This Row],[Data Repactuada]]&lt;&gt;"",1,0)</f>
        <v>0</v>
      </c>
      <c r="T216" s="30">
        <f>IF(Projeto16[[#This Row],[Concluída]]&lt;&gt;"",1,0)</f>
        <v>0</v>
      </c>
    </row>
    <row r="217" spans="2:20" s="22" customFormat="1" ht="15.75" hidden="1" outlineLevel="1" x14ac:dyDescent="0.25">
      <c r="B217" s="44">
        <f>'16'!$B$33</f>
        <v>0</v>
      </c>
      <c r="C217" s="45">
        <f>'16'!$Z$33</f>
        <v>0</v>
      </c>
      <c r="D217" s="45">
        <f>'16'!$AD$33</f>
        <v>0</v>
      </c>
      <c r="E217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17" s="25"/>
      <c r="G217" s="24"/>
      <c r="H217" s="24"/>
      <c r="I217" s="24"/>
      <c r="J217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17" s="27"/>
      <c r="L217" s="27"/>
      <c r="M217" s="27"/>
      <c r="N217" s="28"/>
      <c r="O217" s="34">
        <f t="shared" ca="1" si="15"/>
        <v>43710</v>
      </c>
      <c r="P217" s="30">
        <f>IF(Projeto16[[#This Row],[Iniciada]]&lt;&gt;"",1,0)</f>
        <v>0</v>
      </c>
      <c r="Q217" s="30">
        <f ca="1">IF(Projeto16[[#This Row],[Já iniciada]]=1,0,IF(AND(Projeto16[[#This Row],[Data Início Prevista]]&lt;&gt;0,Projeto16[[#This Row],[éhoje]]&gt;Projeto16[[#This Row],[Data Início Prevista]]),1,0))</f>
        <v>0</v>
      </c>
      <c r="R217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17" s="29">
        <f>IF(Projeto16[[#This Row],[Data Repactuada]]&lt;&gt;"",1,0)</f>
        <v>0</v>
      </c>
      <c r="T217" s="30">
        <f>IF(Projeto16[[#This Row],[Concluída]]&lt;&gt;"",1,0)</f>
        <v>0</v>
      </c>
    </row>
    <row r="218" spans="2:20" s="22" customFormat="1" ht="15.75" hidden="1" outlineLevel="1" x14ac:dyDescent="0.25">
      <c r="B218" s="44">
        <f>'16'!$B$34</f>
        <v>0</v>
      </c>
      <c r="C218" s="45">
        <f>'16'!$Z$34</f>
        <v>0</v>
      </c>
      <c r="D218" s="45">
        <f>'16'!$AD$34</f>
        <v>0</v>
      </c>
      <c r="E218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18" s="25"/>
      <c r="G218" s="24"/>
      <c r="H218" s="24"/>
      <c r="I218" s="24"/>
      <c r="J218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18" s="27"/>
      <c r="L218" s="27"/>
      <c r="M218" s="27"/>
      <c r="N218" s="28"/>
      <c r="O218" s="34">
        <f t="shared" ca="1" si="15"/>
        <v>43710</v>
      </c>
      <c r="P218" s="30">
        <f>IF(Projeto16[[#This Row],[Iniciada]]&lt;&gt;"",1,0)</f>
        <v>0</v>
      </c>
      <c r="Q218" s="30">
        <f ca="1">IF(Projeto16[[#This Row],[Já iniciada]]=1,0,IF(AND(Projeto16[[#This Row],[Data Início Prevista]]&lt;&gt;0,Projeto16[[#This Row],[éhoje]]&gt;Projeto16[[#This Row],[Data Início Prevista]]),1,0))</f>
        <v>0</v>
      </c>
      <c r="R218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18" s="29">
        <f>IF(Projeto16[[#This Row],[Data Repactuada]]&lt;&gt;"",1,0)</f>
        <v>0</v>
      </c>
      <c r="T218" s="30">
        <f>IF(Projeto16[[#This Row],[Concluída]]&lt;&gt;"",1,0)</f>
        <v>0</v>
      </c>
    </row>
    <row r="219" spans="2:20" s="22" customFormat="1" ht="15.75" hidden="1" outlineLevel="1" x14ac:dyDescent="0.25">
      <c r="B219" s="44">
        <f>'16'!$B$35</f>
        <v>0</v>
      </c>
      <c r="C219" s="45">
        <f>'16'!$Z$35</f>
        <v>0</v>
      </c>
      <c r="D219" s="45">
        <f>'16'!$AD$35</f>
        <v>0</v>
      </c>
      <c r="E219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19" s="25"/>
      <c r="G219" s="24"/>
      <c r="H219" s="24"/>
      <c r="I219" s="24"/>
      <c r="J219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19" s="27"/>
      <c r="L219" s="27"/>
      <c r="M219" s="27"/>
      <c r="N219" s="28"/>
      <c r="O219" s="34">
        <f t="shared" ca="1" si="15"/>
        <v>43710</v>
      </c>
      <c r="P219" s="30">
        <f>IF(Projeto16[[#This Row],[Iniciada]]&lt;&gt;"",1,0)</f>
        <v>0</v>
      </c>
      <c r="Q219" s="30">
        <f ca="1">IF(Projeto16[[#This Row],[Já iniciada]]=1,0,IF(AND(Projeto16[[#This Row],[Data Início Prevista]]&lt;&gt;0,Projeto16[[#This Row],[éhoje]]&gt;Projeto16[[#This Row],[Data Início Prevista]]),1,0))</f>
        <v>0</v>
      </c>
      <c r="R219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19" s="29">
        <f>IF(Projeto16[[#This Row],[Data Repactuada]]&lt;&gt;"",1,0)</f>
        <v>0</v>
      </c>
      <c r="T219" s="30">
        <f>IF(Projeto16[[#This Row],[Concluída]]&lt;&gt;"",1,0)</f>
        <v>0</v>
      </c>
    </row>
    <row r="220" spans="2:20" s="22" customFormat="1" ht="15.75" hidden="1" outlineLevel="1" x14ac:dyDescent="0.25">
      <c r="B220" s="44">
        <f>'16'!$B$36</f>
        <v>0</v>
      </c>
      <c r="C220" s="45">
        <f>'16'!$Z$36</f>
        <v>0</v>
      </c>
      <c r="D220" s="45">
        <f>'16'!$AD$36</f>
        <v>0</v>
      </c>
      <c r="E220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20" s="25"/>
      <c r="G220" s="24"/>
      <c r="H220" s="24"/>
      <c r="I220" s="24"/>
      <c r="J220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20" s="27"/>
      <c r="L220" s="27"/>
      <c r="M220" s="27"/>
      <c r="N220" s="28"/>
      <c r="O220" s="34">
        <f t="shared" ca="1" si="15"/>
        <v>43710</v>
      </c>
      <c r="P220" s="30">
        <f>IF(Projeto16[[#This Row],[Iniciada]]&lt;&gt;"",1,0)</f>
        <v>0</v>
      </c>
      <c r="Q220" s="30">
        <f ca="1">IF(Projeto16[[#This Row],[Já iniciada]]=1,0,IF(AND(Projeto16[[#This Row],[Data Início Prevista]]&lt;&gt;0,Projeto16[[#This Row],[éhoje]]&gt;Projeto16[[#This Row],[Data Início Prevista]]),1,0))</f>
        <v>0</v>
      </c>
      <c r="R220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20" s="29">
        <f>IF(Projeto16[[#This Row],[Data Repactuada]]&lt;&gt;"",1,0)</f>
        <v>0</v>
      </c>
      <c r="T220" s="30">
        <f>IF(Projeto16[[#This Row],[Concluída]]&lt;&gt;"",1,0)</f>
        <v>0</v>
      </c>
    </row>
    <row r="221" spans="2:20" s="22" customFormat="1" ht="15.75" hidden="1" outlineLevel="1" x14ac:dyDescent="0.25">
      <c r="B221" s="44">
        <f>'16'!$B$37</f>
        <v>0</v>
      </c>
      <c r="C221" s="45">
        <f>'16'!$Z$37</f>
        <v>0</v>
      </c>
      <c r="D221" s="45">
        <f>'16'!$AD$37</f>
        <v>0</v>
      </c>
      <c r="E221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21" s="25"/>
      <c r="G221" s="24"/>
      <c r="H221" s="24"/>
      <c r="I221" s="24"/>
      <c r="J221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21" s="27"/>
      <c r="L221" s="27"/>
      <c r="M221" s="27"/>
      <c r="N221" s="28"/>
      <c r="O221" s="34">
        <f t="shared" ca="1" si="15"/>
        <v>43710</v>
      </c>
      <c r="P221" s="30">
        <f>IF(Projeto16[[#This Row],[Iniciada]]&lt;&gt;"",1,0)</f>
        <v>0</v>
      </c>
      <c r="Q221" s="30">
        <f ca="1">IF(Projeto16[[#This Row],[Já iniciada]]=1,0,IF(AND(Projeto16[[#This Row],[Data Início Prevista]]&lt;&gt;0,Projeto16[[#This Row],[éhoje]]&gt;Projeto16[[#This Row],[Data Início Prevista]]),1,0))</f>
        <v>0</v>
      </c>
      <c r="R221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21" s="29">
        <f>IF(Projeto16[[#This Row],[Data Repactuada]]&lt;&gt;"",1,0)</f>
        <v>0</v>
      </c>
      <c r="T221" s="30">
        <f>IF(Projeto16[[#This Row],[Concluída]]&lt;&gt;"",1,0)</f>
        <v>0</v>
      </c>
    </row>
    <row r="222" spans="2:20" s="22" customFormat="1" ht="15.75" hidden="1" outlineLevel="1" x14ac:dyDescent="0.25">
      <c r="B222" s="44">
        <f>'16'!$B$38</f>
        <v>0</v>
      </c>
      <c r="C222" s="45">
        <f>'16'!$Z$38</f>
        <v>0</v>
      </c>
      <c r="D222" s="45">
        <f>'16'!$AD$38</f>
        <v>0</v>
      </c>
      <c r="E222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22" s="25"/>
      <c r="G222" s="24"/>
      <c r="H222" s="24"/>
      <c r="I222" s="24"/>
      <c r="J222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22" s="27"/>
      <c r="L222" s="27"/>
      <c r="M222" s="27"/>
      <c r="N222" s="28"/>
      <c r="O222" s="34">
        <f t="shared" ca="1" si="15"/>
        <v>43710</v>
      </c>
      <c r="P222" s="30">
        <f>IF(Projeto16[[#This Row],[Iniciada]]&lt;&gt;"",1,0)</f>
        <v>0</v>
      </c>
      <c r="Q222" s="30">
        <f ca="1">IF(Projeto16[[#This Row],[Já iniciada]]=1,0,IF(AND(Projeto16[[#This Row],[Data Início Prevista]]&lt;&gt;0,Projeto16[[#This Row],[éhoje]]&gt;Projeto16[[#This Row],[Data Início Prevista]]),1,0))</f>
        <v>0</v>
      </c>
      <c r="R222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22" s="29">
        <f>IF(Projeto16[[#This Row],[Data Repactuada]]&lt;&gt;"",1,0)</f>
        <v>0</v>
      </c>
      <c r="T222" s="30">
        <f>IF(Projeto16[[#This Row],[Concluída]]&lt;&gt;"",1,0)</f>
        <v>0</v>
      </c>
    </row>
    <row r="223" spans="2:20" s="22" customFormat="1" ht="15.75" hidden="1" outlineLevel="1" x14ac:dyDescent="0.25">
      <c r="B223" s="44">
        <f>'16'!$B$39</f>
        <v>0</v>
      </c>
      <c r="C223" s="45">
        <f>'16'!$Z$39</f>
        <v>0</v>
      </c>
      <c r="D223" s="45">
        <f>'16'!$AD$39</f>
        <v>0</v>
      </c>
      <c r="E223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23" s="25"/>
      <c r="G223" s="24"/>
      <c r="H223" s="24"/>
      <c r="I223" s="24"/>
      <c r="J223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23" s="27"/>
      <c r="L223" s="27"/>
      <c r="M223" s="27"/>
      <c r="N223" s="28"/>
      <c r="O223" s="34">
        <f t="shared" ca="1" si="15"/>
        <v>43710</v>
      </c>
      <c r="P223" s="30">
        <f>IF(Projeto16[[#This Row],[Iniciada]]&lt;&gt;"",1,0)</f>
        <v>0</v>
      </c>
      <c r="Q223" s="30">
        <f ca="1">IF(Projeto16[[#This Row],[Já iniciada]]=1,0,IF(AND(Projeto16[[#This Row],[Data Início Prevista]]&lt;&gt;0,Projeto16[[#This Row],[éhoje]]&gt;Projeto16[[#This Row],[Data Início Prevista]]),1,0))</f>
        <v>0</v>
      </c>
      <c r="R223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23" s="29">
        <f>IF(Projeto16[[#This Row],[Data Repactuada]]&lt;&gt;"",1,0)</f>
        <v>0</v>
      </c>
      <c r="T223" s="30">
        <f>IF(Projeto16[[#This Row],[Concluída]]&lt;&gt;"",1,0)</f>
        <v>0</v>
      </c>
    </row>
    <row r="224" spans="2:20" s="22" customFormat="1" ht="15.75" hidden="1" outlineLevel="1" x14ac:dyDescent="0.25">
      <c r="B224" s="44">
        <f>'16'!$B$40</f>
        <v>0</v>
      </c>
      <c r="C224" s="45">
        <f>'16'!$Z$40</f>
        <v>0</v>
      </c>
      <c r="D224" s="45">
        <f>'16'!$AD$40</f>
        <v>0</v>
      </c>
      <c r="E224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24" s="25"/>
      <c r="G224" s="24"/>
      <c r="H224" s="24"/>
      <c r="I224" s="24"/>
      <c r="J224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24" s="27"/>
      <c r="L224" s="27"/>
      <c r="M224" s="27"/>
      <c r="N224" s="28"/>
      <c r="O224" s="34">
        <f t="shared" ca="1" si="15"/>
        <v>43710</v>
      </c>
      <c r="P224" s="30">
        <f>IF(Projeto16[[#This Row],[Iniciada]]&lt;&gt;"",1,0)</f>
        <v>0</v>
      </c>
      <c r="Q224" s="30">
        <f ca="1">IF(Projeto16[[#This Row],[Já iniciada]]=1,0,IF(AND(Projeto16[[#This Row],[Data Início Prevista]]&lt;&gt;0,Projeto16[[#This Row],[éhoje]]&gt;Projeto16[[#This Row],[Data Início Prevista]]),1,0))</f>
        <v>0</v>
      </c>
      <c r="R224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24" s="29">
        <f>IF(Projeto16[[#This Row],[Data Repactuada]]&lt;&gt;"",1,0)</f>
        <v>0</v>
      </c>
      <c r="T224" s="30">
        <f>IF(Projeto16[[#This Row],[Concluída]]&lt;&gt;"",1,0)</f>
        <v>0</v>
      </c>
    </row>
    <row r="225" spans="2:20" s="22" customFormat="1" ht="15.75" hidden="1" outlineLevel="1" x14ac:dyDescent="0.25">
      <c r="B225" s="44">
        <f>'16'!$B$41</f>
        <v>0</v>
      </c>
      <c r="C225" s="45">
        <f>'16'!$Z$41</f>
        <v>0</v>
      </c>
      <c r="D225" s="45">
        <f>'16'!$AD$41</f>
        <v>0</v>
      </c>
      <c r="E225" s="26" t="str">
        <f ca="1">IF(Projeto16[[#This Row],[Data Início Prevista]]&lt;&gt;"",IF(Projeto16[[#This Row],[Concluída]]&lt;&gt;"","Concluída",IF(Projeto16[[#This Row],[atraso inicio]]=1,"Atrasada",IF(Projeto16[[#This Row],[atraso FIM]]=1,"Atrasada",IF(Projeto16[[#This Row],[Cancelada]]&lt;&gt;"","Cancelada",IF(Projeto16[[#This Row],[Iniciada]]&lt;&gt;"","Iniciada",""))))))</f>
        <v/>
      </c>
      <c r="F225" s="25"/>
      <c r="G225" s="24"/>
      <c r="H225" s="24"/>
      <c r="I225" s="24"/>
      <c r="J225" s="37" t="str">
        <f ca="1">IF(Projeto16[[#This Row],[Status]]&lt;&gt;"Concluída","",IF(Projeto16[[#This Row],[Data Fim Real da Fase]]="","",IF(AND(Projeto16[[#This Row],[Status]]="Concluída",Projeto16[[#This Row],[Data Fim Real da Fase]]&lt;&gt;"",Projeto16[[#This Row],[Data Repactuada]]&lt;&gt;""),Projeto16[[#This Row],[Data Fim Real da Fase]]-Projeto16[[#This Row],[Data Repactuada]],Projeto16[[#This Row],[Data Fim Real da Fase]]-Projeto16[[#This Row],[Data Fim Prevista]])))</f>
        <v/>
      </c>
      <c r="K225" s="27"/>
      <c r="L225" s="27"/>
      <c r="M225" s="27"/>
      <c r="N225" s="28"/>
      <c r="O225" s="34">
        <f t="shared" ca="1" si="15"/>
        <v>43710</v>
      </c>
      <c r="P225" s="30">
        <f>IF(Projeto16[[#This Row],[Iniciada]]&lt;&gt;"",1,0)</f>
        <v>0</v>
      </c>
      <c r="Q225" s="30">
        <f ca="1">IF(Projeto16[[#This Row],[Já iniciada]]=1,0,IF(AND(Projeto16[[#This Row],[Data Início Prevista]]&lt;&gt;0,Projeto16[[#This Row],[éhoje]]&gt;Projeto16[[#This Row],[Data Início Prevista]]),1,0))</f>
        <v>0</v>
      </c>
      <c r="R225" s="30">
        <f>IF(Projeto16[[#This Row],[Concluido]]=1,0,IF(Projeto16[[#This Row],[Cancelada]]&lt;&gt;"",0,IF(Projeto16[[#This Row],[Data Fim Prevista]]=0,0,IF(Projeto16[[#This Row],[Repact]]=1,IF(Projeto16[[#This Row],[éhoje]]&lt;Projeto16[[#This Row],[Data Repactuada]],0,1),IF(Projeto16[[#This Row],[éhoje]]&gt;Projeto16[[#This Row],[Data Fim Prevista]],1,0)))))</f>
        <v>0</v>
      </c>
      <c r="S225" s="29">
        <f>IF(Projeto16[[#This Row],[Data Repactuada]]&lt;&gt;"",1,0)</f>
        <v>0</v>
      </c>
      <c r="T225" s="30">
        <f>IF(Projeto16[[#This Row],[Concluída]]&lt;&gt;"",1,0)</f>
        <v>0</v>
      </c>
    </row>
    <row r="226" spans="2:20" collapsed="1" x14ac:dyDescent="0.25"/>
    <row r="227" spans="2:20" x14ac:dyDescent="0.25"/>
    <row r="228" spans="2:20" s="43" customFormat="1" ht="21" customHeight="1" x14ac:dyDescent="0.25">
      <c r="B228" s="38" t="s">
        <v>157</v>
      </c>
      <c r="C228" s="129" t="str">
        <f>'17'!$H$6</f>
        <v>&lt;Nome curto / apelido / código do projeto &gt;</v>
      </c>
      <c r="D228" s="129"/>
      <c r="E228" s="129"/>
      <c r="F228" s="129"/>
      <c r="G228" s="129"/>
      <c r="H228" s="68" t="s">
        <v>138</v>
      </c>
      <c r="I228" s="39">
        <f>'17'!$H$11</f>
        <v>0</v>
      </c>
      <c r="J228" s="40" t="s">
        <v>140</v>
      </c>
      <c r="K228" s="39">
        <f>'17'!$AB$11</f>
        <v>0</v>
      </c>
      <c r="L228" s="41"/>
      <c r="M228" s="42"/>
      <c r="O228" s="47" t="s">
        <v>150</v>
      </c>
      <c r="P228" s="46"/>
      <c r="Q228" s="46"/>
      <c r="R228" s="46"/>
      <c r="S228" s="46"/>
      <c r="T228" s="46"/>
    </row>
    <row r="229" spans="2:20" s="23" customFormat="1" ht="31.5" hidden="1" customHeight="1" outlineLevel="1" x14ac:dyDescent="0.2">
      <c r="B229" s="31" t="s">
        <v>37</v>
      </c>
      <c r="C229" s="31" t="s">
        <v>139</v>
      </c>
      <c r="D229" s="31" t="s">
        <v>137</v>
      </c>
      <c r="E229" s="31" t="s">
        <v>116</v>
      </c>
      <c r="F229" s="31" t="s">
        <v>117</v>
      </c>
      <c r="G229" s="31" t="s">
        <v>118</v>
      </c>
      <c r="H229" s="31" t="s">
        <v>119</v>
      </c>
      <c r="I229" s="31" t="s">
        <v>120</v>
      </c>
      <c r="J229" s="31" t="s">
        <v>121</v>
      </c>
      <c r="K229" s="32" t="s">
        <v>122</v>
      </c>
      <c r="L229" s="32" t="s">
        <v>123</v>
      </c>
      <c r="M229" s="32" t="s">
        <v>124</v>
      </c>
      <c r="N229" s="28" t="s">
        <v>125</v>
      </c>
      <c r="O229" s="33" t="s">
        <v>126</v>
      </c>
      <c r="P229" s="32" t="s">
        <v>127</v>
      </c>
      <c r="Q229" s="32" t="s">
        <v>128</v>
      </c>
      <c r="R229" s="32" t="s">
        <v>129</v>
      </c>
      <c r="S229" s="32" t="s">
        <v>130</v>
      </c>
      <c r="T229" s="32" t="s">
        <v>131</v>
      </c>
    </row>
    <row r="230" spans="2:20" s="22" customFormat="1" ht="15.75" hidden="1" outlineLevel="1" x14ac:dyDescent="0.25">
      <c r="B230" s="44">
        <f>'17'!$B$32</f>
        <v>0</v>
      </c>
      <c r="C230" s="45">
        <f>'17'!$Z$32</f>
        <v>0</v>
      </c>
      <c r="D230" s="45">
        <f>'17'!$AD$32</f>
        <v>0</v>
      </c>
      <c r="E230" s="26" t="str">
        <f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>Concluída</v>
      </c>
      <c r="F230" s="25" t="s">
        <v>248</v>
      </c>
      <c r="G230" s="25"/>
      <c r="H230" s="24"/>
      <c r="I230" s="25">
        <v>43647</v>
      </c>
      <c r="J230" s="37">
        <f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>43647</v>
      </c>
      <c r="K230" s="27"/>
      <c r="L230" s="27">
        <v>43497</v>
      </c>
      <c r="M230" s="27"/>
      <c r="N230" s="28"/>
      <c r="O230" s="34">
        <f t="shared" ref="O230:O239" ca="1" si="16">TODAY()</f>
        <v>43710</v>
      </c>
      <c r="P230" s="30">
        <f>IF(Projeto17[[#This Row],[Iniciada]]&lt;&gt;"",1,0)</f>
        <v>0</v>
      </c>
      <c r="Q230" s="30">
        <f ca="1">IF(Projeto17[[#This Row],[Já iniciada]]=1,0,IF(AND(Projeto17[[#This Row],[Data Início Prevista]]&lt;&gt;0,Projeto17[[#This Row],[éhoje]]&gt;Projeto17[[#This Row],[Data Início Prevista]]),1,0))</f>
        <v>0</v>
      </c>
      <c r="R230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0" s="29">
        <f>IF(Projeto17[[#This Row],[Data Repactuada]]&lt;&gt;"",1,0)</f>
        <v>0</v>
      </c>
      <c r="T230" s="30">
        <f>IF(Projeto17[[#This Row],[Concluída]]&lt;&gt;"",1,0)</f>
        <v>1</v>
      </c>
    </row>
    <row r="231" spans="2:20" s="22" customFormat="1" ht="15.75" hidden="1" outlineLevel="1" x14ac:dyDescent="0.25">
      <c r="B231" s="44">
        <f>'17'!$B$33</f>
        <v>0</v>
      </c>
      <c r="C231" s="45">
        <f>'17'!$Z$33</f>
        <v>0</v>
      </c>
      <c r="D231" s="45">
        <f>'17'!$AD$33</f>
        <v>0</v>
      </c>
      <c r="E231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1" s="25"/>
      <c r="G231" s="24"/>
      <c r="H231" s="24"/>
      <c r="I231" s="24"/>
      <c r="J231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1" s="27"/>
      <c r="L231" s="27"/>
      <c r="M231" s="27"/>
      <c r="N231" s="28"/>
      <c r="O231" s="34">
        <f t="shared" ca="1" si="16"/>
        <v>43710</v>
      </c>
      <c r="P231" s="30">
        <f>IF(Projeto17[[#This Row],[Iniciada]]&lt;&gt;"",1,0)</f>
        <v>0</v>
      </c>
      <c r="Q231" s="30">
        <f ca="1">IF(Projeto17[[#This Row],[Já iniciada]]=1,0,IF(AND(Projeto17[[#This Row],[Data Início Prevista]]&lt;&gt;0,Projeto17[[#This Row],[éhoje]]&gt;Projeto17[[#This Row],[Data Início Prevista]]),1,0))</f>
        <v>0</v>
      </c>
      <c r="R231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1" s="29">
        <f>IF(Projeto17[[#This Row],[Data Repactuada]]&lt;&gt;"",1,0)</f>
        <v>0</v>
      </c>
      <c r="T231" s="30">
        <f>IF(Projeto17[[#This Row],[Concluída]]&lt;&gt;"",1,0)</f>
        <v>0</v>
      </c>
    </row>
    <row r="232" spans="2:20" s="22" customFormat="1" ht="15.75" hidden="1" outlineLevel="1" x14ac:dyDescent="0.25">
      <c r="B232" s="44">
        <f>'17'!$B$34</f>
        <v>0</v>
      </c>
      <c r="C232" s="45">
        <f>'17'!$Z$34</f>
        <v>0</v>
      </c>
      <c r="D232" s="45">
        <f>'17'!$AD$34</f>
        <v>0</v>
      </c>
      <c r="E232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2" s="25"/>
      <c r="G232" s="24"/>
      <c r="H232" s="24"/>
      <c r="I232" s="24"/>
      <c r="J232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2" s="27"/>
      <c r="L232" s="27"/>
      <c r="M232" s="27"/>
      <c r="N232" s="28"/>
      <c r="O232" s="34">
        <f t="shared" ca="1" si="16"/>
        <v>43710</v>
      </c>
      <c r="P232" s="30">
        <f>IF(Projeto17[[#This Row],[Iniciada]]&lt;&gt;"",1,0)</f>
        <v>0</v>
      </c>
      <c r="Q232" s="30">
        <f ca="1">IF(Projeto17[[#This Row],[Já iniciada]]=1,0,IF(AND(Projeto17[[#This Row],[Data Início Prevista]]&lt;&gt;0,Projeto17[[#This Row],[éhoje]]&gt;Projeto17[[#This Row],[Data Início Prevista]]),1,0))</f>
        <v>0</v>
      </c>
      <c r="R232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2" s="29">
        <f>IF(Projeto17[[#This Row],[Data Repactuada]]&lt;&gt;"",1,0)</f>
        <v>0</v>
      </c>
      <c r="T232" s="30">
        <f>IF(Projeto17[[#This Row],[Concluída]]&lt;&gt;"",1,0)</f>
        <v>0</v>
      </c>
    </row>
    <row r="233" spans="2:20" s="22" customFormat="1" ht="15.75" hidden="1" outlineLevel="1" x14ac:dyDescent="0.25">
      <c r="B233" s="44">
        <f>'17'!$B$35</f>
        <v>0</v>
      </c>
      <c r="C233" s="45">
        <f>'17'!$Z$35</f>
        <v>0</v>
      </c>
      <c r="D233" s="45">
        <f>'17'!$AD$35</f>
        <v>0</v>
      </c>
      <c r="E233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3" s="25"/>
      <c r="G233" s="24"/>
      <c r="H233" s="24"/>
      <c r="I233" s="24"/>
      <c r="J233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3" s="27"/>
      <c r="L233" s="27"/>
      <c r="M233" s="27"/>
      <c r="N233" s="28"/>
      <c r="O233" s="34">
        <f t="shared" ca="1" si="16"/>
        <v>43710</v>
      </c>
      <c r="P233" s="30">
        <f>IF(Projeto17[[#This Row],[Iniciada]]&lt;&gt;"",1,0)</f>
        <v>0</v>
      </c>
      <c r="Q233" s="30">
        <f ca="1">IF(Projeto17[[#This Row],[Já iniciada]]=1,0,IF(AND(Projeto17[[#This Row],[Data Início Prevista]]&lt;&gt;0,Projeto17[[#This Row],[éhoje]]&gt;Projeto17[[#This Row],[Data Início Prevista]]),1,0))</f>
        <v>0</v>
      </c>
      <c r="R233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3" s="29">
        <f>IF(Projeto17[[#This Row],[Data Repactuada]]&lt;&gt;"",1,0)</f>
        <v>0</v>
      </c>
      <c r="T233" s="30">
        <f>IF(Projeto17[[#This Row],[Concluída]]&lt;&gt;"",1,0)</f>
        <v>0</v>
      </c>
    </row>
    <row r="234" spans="2:20" s="22" customFormat="1" ht="15.75" hidden="1" outlineLevel="1" x14ac:dyDescent="0.25">
      <c r="B234" s="44">
        <f>'17'!$B$36</f>
        <v>0</v>
      </c>
      <c r="C234" s="45">
        <f>'17'!$Z$36</f>
        <v>0</v>
      </c>
      <c r="D234" s="45">
        <f>'17'!$AD$36</f>
        <v>0</v>
      </c>
      <c r="E234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4" s="25"/>
      <c r="G234" s="24"/>
      <c r="H234" s="24"/>
      <c r="I234" s="24"/>
      <c r="J234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4" s="27"/>
      <c r="L234" s="27"/>
      <c r="M234" s="27"/>
      <c r="N234" s="28"/>
      <c r="O234" s="34">
        <f t="shared" ca="1" si="16"/>
        <v>43710</v>
      </c>
      <c r="P234" s="30">
        <f>IF(Projeto17[[#This Row],[Iniciada]]&lt;&gt;"",1,0)</f>
        <v>0</v>
      </c>
      <c r="Q234" s="30">
        <f ca="1">IF(Projeto17[[#This Row],[Já iniciada]]=1,0,IF(AND(Projeto17[[#This Row],[Data Início Prevista]]&lt;&gt;0,Projeto17[[#This Row],[éhoje]]&gt;Projeto17[[#This Row],[Data Início Prevista]]),1,0))</f>
        <v>0</v>
      </c>
      <c r="R234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4" s="29">
        <f>IF(Projeto17[[#This Row],[Data Repactuada]]&lt;&gt;"",1,0)</f>
        <v>0</v>
      </c>
      <c r="T234" s="30">
        <f>IF(Projeto17[[#This Row],[Concluída]]&lt;&gt;"",1,0)</f>
        <v>0</v>
      </c>
    </row>
    <row r="235" spans="2:20" s="22" customFormat="1" ht="15.75" hidden="1" outlineLevel="1" x14ac:dyDescent="0.25">
      <c r="B235" s="44">
        <f>'17'!$B$37</f>
        <v>0</v>
      </c>
      <c r="C235" s="45">
        <f>'17'!$Z$37</f>
        <v>0</v>
      </c>
      <c r="D235" s="45">
        <f>'17'!$AD$37</f>
        <v>0</v>
      </c>
      <c r="E235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5" s="25"/>
      <c r="G235" s="24"/>
      <c r="H235" s="24"/>
      <c r="I235" s="24"/>
      <c r="J235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5" s="27"/>
      <c r="L235" s="27"/>
      <c r="M235" s="27"/>
      <c r="N235" s="28"/>
      <c r="O235" s="34">
        <f t="shared" ca="1" si="16"/>
        <v>43710</v>
      </c>
      <c r="P235" s="30">
        <f>IF(Projeto17[[#This Row],[Iniciada]]&lt;&gt;"",1,0)</f>
        <v>0</v>
      </c>
      <c r="Q235" s="30">
        <f ca="1">IF(Projeto17[[#This Row],[Já iniciada]]=1,0,IF(AND(Projeto17[[#This Row],[Data Início Prevista]]&lt;&gt;0,Projeto17[[#This Row],[éhoje]]&gt;Projeto17[[#This Row],[Data Início Prevista]]),1,0))</f>
        <v>0</v>
      </c>
      <c r="R235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5" s="29">
        <f>IF(Projeto17[[#This Row],[Data Repactuada]]&lt;&gt;"",1,0)</f>
        <v>0</v>
      </c>
      <c r="T235" s="30">
        <f>IF(Projeto17[[#This Row],[Concluída]]&lt;&gt;"",1,0)</f>
        <v>0</v>
      </c>
    </row>
    <row r="236" spans="2:20" s="22" customFormat="1" ht="15.75" hidden="1" outlineLevel="1" x14ac:dyDescent="0.25">
      <c r="B236" s="44">
        <f>'17'!$B$38</f>
        <v>0</v>
      </c>
      <c r="C236" s="45">
        <f>'17'!$Z$38</f>
        <v>0</v>
      </c>
      <c r="D236" s="45">
        <f>'17'!$AD$38</f>
        <v>0</v>
      </c>
      <c r="E236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6" s="25"/>
      <c r="G236" s="24"/>
      <c r="H236" s="24"/>
      <c r="I236" s="24"/>
      <c r="J236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6" s="27"/>
      <c r="L236" s="27"/>
      <c r="M236" s="27"/>
      <c r="N236" s="28"/>
      <c r="O236" s="34">
        <f t="shared" ca="1" si="16"/>
        <v>43710</v>
      </c>
      <c r="P236" s="30">
        <f>IF(Projeto17[[#This Row],[Iniciada]]&lt;&gt;"",1,0)</f>
        <v>0</v>
      </c>
      <c r="Q236" s="30">
        <f ca="1">IF(Projeto17[[#This Row],[Já iniciada]]=1,0,IF(AND(Projeto17[[#This Row],[Data Início Prevista]]&lt;&gt;0,Projeto17[[#This Row],[éhoje]]&gt;Projeto17[[#This Row],[Data Início Prevista]]),1,0))</f>
        <v>0</v>
      </c>
      <c r="R236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6" s="29">
        <f>IF(Projeto17[[#This Row],[Data Repactuada]]&lt;&gt;"",1,0)</f>
        <v>0</v>
      </c>
      <c r="T236" s="30">
        <f>IF(Projeto17[[#This Row],[Concluída]]&lt;&gt;"",1,0)</f>
        <v>0</v>
      </c>
    </row>
    <row r="237" spans="2:20" s="22" customFormat="1" ht="15.75" hidden="1" outlineLevel="1" x14ac:dyDescent="0.25">
      <c r="B237" s="44">
        <f>'17'!$B$39</f>
        <v>0</v>
      </c>
      <c r="C237" s="45">
        <f>'17'!$Z$39</f>
        <v>0</v>
      </c>
      <c r="D237" s="45">
        <f>'17'!$AD$39</f>
        <v>0</v>
      </c>
      <c r="E237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7" s="25"/>
      <c r="G237" s="24"/>
      <c r="H237" s="24"/>
      <c r="I237" s="24"/>
      <c r="J237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7" s="27"/>
      <c r="L237" s="27"/>
      <c r="M237" s="27"/>
      <c r="N237" s="28"/>
      <c r="O237" s="34">
        <f t="shared" ca="1" si="16"/>
        <v>43710</v>
      </c>
      <c r="P237" s="30">
        <f>IF(Projeto17[[#This Row],[Iniciada]]&lt;&gt;"",1,0)</f>
        <v>0</v>
      </c>
      <c r="Q237" s="30">
        <f ca="1">IF(Projeto17[[#This Row],[Já iniciada]]=1,0,IF(AND(Projeto17[[#This Row],[Data Início Prevista]]&lt;&gt;0,Projeto17[[#This Row],[éhoje]]&gt;Projeto17[[#This Row],[Data Início Prevista]]),1,0))</f>
        <v>0</v>
      </c>
      <c r="R237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7" s="29">
        <f>IF(Projeto17[[#This Row],[Data Repactuada]]&lt;&gt;"",1,0)</f>
        <v>0</v>
      </c>
      <c r="T237" s="30">
        <f>IF(Projeto17[[#This Row],[Concluída]]&lt;&gt;"",1,0)</f>
        <v>0</v>
      </c>
    </row>
    <row r="238" spans="2:20" s="22" customFormat="1" ht="15.75" hidden="1" outlineLevel="1" x14ac:dyDescent="0.25">
      <c r="B238" s="44">
        <f>'17'!$B$40</f>
        <v>0</v>
      </c>
      <c r="C238" s="45">
        <f>'17'!$Z$40</f>
        <v>0</v>
      </c>
      <c r="D238" s="45">
        <f>'17'!$AD$40</f>
        <v>0</v>
      </c>
      <c r="E238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8" s="25"/>
      <c r="G238" s="24"/>
      <c r="H238" s="24"/>
      <c r="I238" s="24"/>
      <c r="J238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8" s="27"/>
      <c r="L238" s="27"/>
      <c r="M238" s="27"/>
      <c r="N238" s="28"/>
      <c r="O238" s="34">
        <f t="shared" ca="1" si="16"/>
        <v>43710</v>
      </c>
      <c r="P238" s="30">
        <f>IF(Projeto17[[#This Row],[Iniciada]]&lt;&gt;"",1,0)</f>
        <v>0</v>
      </c>
      <c r="Q238" s="30">
        <f ca="1">IF(Projeto17[[#This Row],[Já iniciada]]=1,0,IF(AND(Projeto17[[#This Row],[Data Início Prevista]]&lt;&gt;0,Projeto17[[#This Row],[éhoje]]&gt;Projeto17[[#This Row],[Data Início Prevista]]),1,0))</f>
        <v>0</v>
      </c>
      <c r="R238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8" s="29">
        <f>IF(Projeto17[[#This Row],[Data Repactuada]]&lt;&gt;"",1,0)</f>
        <v>0</v>
      </c>
      <c r="T238" s="30">
        <f>IF(Projeto17[[#This Row],[Concluída]]&lt;&gt;"",1,0)</f>
        <v>0</v>
      </c>
    </row>
    <row r="239" spans="2:20" s="22" customFormat="1" ht="15.75" hidden="1" outlineLevel="1" x14ac:dyDescent="0.25">
      <c r="B239" s="44">
        <f>'17'!$B$41</f>
        <v>0</v>
      </c>
      <c r="C239" s="45">
        <f>'17'!$Z$41</f>
        <v>0</v>
      </c>
      <c r="D239" s="45">
        <f>'17'!$AD$41</f>
        <v>0</v>
      </c>
      <c r="E239" s="26" t="str">
        <f ca="1">IF(Projeto17[[#This Row],[Data Início Prevista]]&lt;&gt;"",IF(Projeto17[[#This Row],[Concluída]]&lt;&gt;"","Concluída",IF(Projeto17[[#This Row],[atraso inicio]]=1,"Atrasada",IF(Projeto17[[#This Row],[atraso FIM]]=1,"Atrasada",IF(Projeto17[[#This Row],[Cancelada]]&lt;&gt;"","Cancelada",IF(Projeto17[[#This Row],[Iniciada]]&lt;&gt;"","Iniciada",""))))))</f>
        <v/>
      </c>
      <c r="F239" s="25"/>
      <c r="G239" s="24"/>
      <c r="H239" s="24"/>
      <c r="I239" s="24"/>
      <c r="J239" s="37" t="str">
        <f ca="1">IF(Projeto17[[#This Row],[Status]]&lt;&gt;"Concluída","",IF(Projeto17[[#This Row],[Data Fim Real da Fase]]="","",IF(AND(Projeto17[[#This Row],[Status]]="Concluída",Projeto17[[#This Row],[Data Fim Real da Fase]]&lt;&gt;"",Projeto17[[#This Row],[Data Repactuada]]&lt;&gt;""),Projeto17[[#This Row],[Data Fim Real da Fase]]-Projeto17[[#This Row],[Data Repactuada]],Projeto17[[#This Row],[Data Fim Real da Fase]]-Projeto17[[#This Row],[Data Fim Prevista]])))</f>
        <v/>
      </c>
      <c r="K239" s="27"/>
      <c r="L239" s="27"/>
      <c r="M239" s="27"/>
      <c r="N239" s="28"/>
      <c r="O239" s="34">
        <f t="shared" ca="1" si="16"/>
        <v>43710</v>
      </c>
      <c r="P239" s="30">
        <f>IF(Projeto17[[#This Row],[Iniciada]]&lt;&gt;"",1,0)</f>
        <v>0</v>
      </c>
      <c r="Q239" s="30">
        <f ca="1">IF(Projeto17[[#This Row],[Já iniciada]]=1,0,IF(AND(Projeto17[[#This Row],[Data Início Prevista]]&lt;&gt;0,Projeto17[[#This Row],[éhoje]]&gt;Projeto17[[#This Row],[Data Início Prevista]]),1,0))</f>
        <v>0</v>
      </c>
      <c r="R239" s="30">
        <f>IF(Projeto17[[#This Row],[Concluido]]=1,0,IF(Projeto17[[#This Row],[Cancelada]]&lt;&gt;"",0,IF(Projeto17[[#This Row],[Data Fim Prevista]]=0,0,IF(Projeto17[[#This Row],[Repact]]=1,IF(Projeto17[[#This Row],[éhoje]]&lt;Projeto17[[#This Row],[Data Repactuada]],0,1),IF(Projeto17[[#This Row],[éhoje]]&gt;Projeto17[[#This Row],[Data Fim Prevista]],1,0)))))</f>
        <v>0</v>
      </c>
      <c r="S239" s="29">
        <f>IF(Projeto17[[#This Row],[Data Repactuada]]&lt;&gt;"",1,0)</f>
        <v>0</v>
      </c>
      <c r="T239" s="30">
        <f>IF(Projeto17[[#This Row],[Concluída]]&lt;&gt;"",1,0)</f>
        <v>0</v>
      </c>
    </row>
    <row r="240" spans="2:20" collapsed="1" x14ac:dyDescent="0.25"/>
    <row r="241" spans="2:20" x14ac:dyDescent="0.25"/>
    <row r="242" spans="2:20" s="43" customFormat="1" ht="21" customHeight="1" x14ac:dyDescent="0.25">
      <c r="B242" s="38" t="s">
        <v>158</v>
      </c>
      <c r="C242" s="129" t="str">
        <f>'18'!$H$6</f>
        <v>&lt;Nome curto / apelido / código do projeto &gt;</v>
      </c>
      <c r="D242" s="129"/>
      <c r="E242" s="129"/>
      <c r="F242" s="129"/>
      <c r="G242" s="129"/>
      <c r="H242" s="68" t="s">
        <v>138</v>
      </c>
      <c r="I242" s="39">
        <f>'18'!$H$11</f>
        <v>0</v>
      </c>
      <c r="J242" s="40" t="s">
        <v>140</v>
      </c>
      <c r="K242" s="39">
        <f>'18'!$AB$11</f>
        <v>0</v>
      </c>
      <c r="L242" s="41"/>
      <c r="M242" s="42"/>
      <c r="O242" s="47" t="s">
        <v>150</v>
      </c>
      <c r="P242" s="46"/>
      <c r="Q242" s="46"/>
      <c r="R242" s="46"/>
      <c r="S242" s="46"/>
      <c r="T242" s="46"/>
    </row>
    <row r="243" spans="2:20" s="23" customFormat="1" ht="31.5" hidden="1" customHeight="1" outlineLevel="1" x14ac:dyDescent="0.2">
      <c r="B243" s="31" t="s">
        <v>37</v>
      </c>
      <c r="C243" s="31" t="s">
        <v>139</v>
      </c>
      <c r="D243" s="31" t="s">
        <v>137</v>
      </c>
      <c r="E243" s="31" t="s">
        <v>116</v>
      </c>
      <c r="F243" s="31" t="s">
        <v>117</v>
      </c>
      <c r="G243" s="31" t="s">
        <v>118</v>
      </c>
      <c r="H243" s="31" t="s">
        <v>119</v>
      </c>
      <c r="I243" s="31" t="s">
        <v>120</v>
      </c>
      <c r="J243" s="31" t="s">
        <v>121</v>
      </c>
      <c r="K243" s="32" t="s">
        <v>122</v>
      </c>
      <c r="L243" s="32" t="s">
        <v>123</v>
      </c>
      <c r="M243" s="32" t="s">
        <v>124</v>
      </c>
      <c r="N243" s="28" t="s">
        <v>125</v>
      </c>
      <c r="O243" s="33" t="s">
        <v>126</v>
      </c>
      <c r="P243" s="32" t="s">
        <v>127</v>
      </c>
      <c r="Q243" s="32" t="s">
        <v>128</v>
      </c>
      <c r="R243" s="32" t="s">
        <v>129</v>
      </c>
      <c r="S243" s="32" t="s">
        <v>130</v>
      </c>
      <c r="T243" s="32" t="s">
        <v>131</v>
      </c>
    </row>
    <row r="244" spans="2:20" s="22" customFormat="1" ht="15.75" hidden="1" outlineLevel="1" x14ac:dyDescent="0.25">
      <c r="B244" s="44">
        <f>'18'!$B$32</f>
        <v>0</v>
      </c>
      <c r="C244" s="45">
        <f>'18'!$Z$32</f>
        <v>0</v>
      </c>
      <c r="D244" s="45">
        <f>'18'!$AD$32</f>
        <v>0</v>
      </c>
      <c r="E244" s="26" t="str">
        <f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>Concluída</v>
      </c>
      <c r="F244" s="25" t="s">
        <v>248</v>
      </c>
      <c r="G244" s="25"/>
      <c r="H244" s="24"/>
      <c r="I244" s="25">
        <v>43647</v>
      </c>
      <c r="J244" s="37">
        <f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>43647</v>
      </c>
      <c r="K244" s="27"/>
      <c r="L244" s="27">
        <v>43559</v>
      </c>
      <c r="M244" s="27"/>
      <c r="N244" s="28"/>
      <c r="O244" s="34">
        <f t="shared" ref="O244:O253" ca="1" si="17">TODAY()</f>
        <v>43710</v>
      </c>
      <c r="P244" s="30">
        <f>IF(Tabela63561221[[#This Row],[Iniciada]]&lt;&gt;"",1,0)</f>
        <v>0</v>
      </c>
      <c r="Q244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44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44" s="29">
        <f>IF(Tabela63561221[[#This Row],[Data Repactuada]]&lt;&gt;"",1,0)</f>
        <v>0</v>
      </c>
      <c r="T244" s="30">
        <f>IF(Tabela63561221[[#This Row],[Concluída]]&lt;&gt;"",1,0)</f>
        <v>1</v>
      </c>
    </row>
    <row r="245" spans="2:20" s="22" customFormat="1" ht="15.75" hidden="1" outlineLevel="1" x14ac:dyDescent="0.25">
      <c r="B245" s="44">
        <f>'18'!$B$33</f>
        <v>0</v>
      </c>
      <c r="C245" s="45">
        <f>'18'!$Z$33</f>
        <v>0</v>
      </c>
      <c r="D245" s="45">
        <f>'18'!$AD$33</f>
        <v>0</v>
      </c>
      <c r="E245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45" s="25"/>
      <c r="G245" s="24"/>
      <c r="H245" s="24"/>
      <c r="I245" s="24"/>
      <c r="J245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45" s="27"/>
      <c r="L245" s="27"/>
      <c r="M245" s="27"/>
      <c r="N245" s="28"/>
      <c r="O245" s="34">
        <f t="shared" ca="1" si="17"/>
        <v>43710</v>
      </c>
      <c r="P245" s="30">
        <f>IF(Tabela63561221[[#This Row],[Iniciada]]&lt;&gt;"",1,0)</f>
        <v>0</v>
      </c>
      <c r="Q245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45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45" s="29">
        <f>IF(Tabela63561221[[#This Row],[Data Repactuada]]&lt;&gt;"",1,0)</f>
        <v>0</v>
      </c>
      <c r="T245" s="30">
        <f>IF(Tabela63561221[[#This Row],[Concluída]]&lt;&gt;"",1,0)</f>
        <v>0</v>
      </c>
    </row>
    <row r="246" spans="2:20" s="22" customFormat="1" ht="15.75" hidden="1" outlineLevel="1" x14ac:dyDescent="0.25">
      <c r="B246" s="44">
        <f>'18'!$B$34</f>
        <v>0</v>
      </c>
      <c r="C246" s="45">
        <f>'18'!$Z$34</f>
        <v>0</v>
      </c>
      <c r="D246" s="45">
        <f>'18'!$AD$34</f>
        <v>0</v>
      </c>
      <c r="E246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46" s="25"/>
      <c r="G246" s="24"/>
      <c r="H246" s="24"/>
      <c r="I246" s="24"/>
      <c r="J246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46" s="27"/>
      <c r="L246" s="27"/>
      <c r="M246" s="27"/>
      <c r="N246" s="28"/>
      <c r="O246" s="34">
        <f t="shared" ca="1" si="17"/>
        <v>43710</v>
      </c>
      <c r="P246" s="30">
        <f>IF(Tabela63561221[[#This Row],[Iniciada]]&lt;&gt;"",1,0)</f>
        <v>0</v>
      </c>
      <c r="Q246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46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46" s="29">
        <f>IF(Tabela63561221[[#This Row],[Data Repactuada]]&lt;&gt;"",1,0)</f>
        <v>0</v>
      </c>
      <c r="T246" s="30">
        <f>IF(Tabela63561221[[#This Row],[Concluída]]&lt;&gt;"",1,0)</f>
        <v>0</v>
      </c>
    </row>
    <row r="247" spans="2:20" s="22" customFormat="1" ht="15.75" hidden="1" outlineLevel="1" x14ac:dyDescent="0.25">
      <c r="B247" s="44">
        <f>'18'!$B$35</f>
        <v>0</v>
      </c>
      <c r="C247" s="45">
        <f>'18'!$Z$35</f>
        <v>0</v>
      </c>
      <c r="D247" s="45">
        <f>'18'!$AD$35</f>
        <v>0</v>
      </c>
      <c r="E247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47" s="25"/>
      <c r="G247" s="24"/>
      <c r="H247" s="24"/>
      <c r="I247" s="24"/>
      <c r="J247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47" s="27"/>
      <c r="L247" s="27"/>
      <c r="M247" s="27"/>
      <c r="N247" s="28"/>
      <c r="O247" s="34">
        <f t="shared" ca="1" si="17"/>
        <v>43710</v>
      </c>
      <c r="P247" s="30">
        <f>IF(Tabela63561221[[#This Row],[Iniciada]]&lt;&gt;"",1,0)</f>
        <v>0</v>
      </c>
      <c r="Q247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47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47" s="29">
        <f>IF(Tabela63561221[[#This Row],[Data Repactuada]]&lt;&gt;"",1,0)</f>
        <v>0</v>
      </c>
      <c r="T247" s="30">
        <f>IF(Tabela63561221[[#This Row],[Concluída]]&lt;&gt;"",1,0)</f>
        <v>0</v>
      </c>
    </row>
    <row r="248" spans="2:20" s="22" customFormat="1" ht="15.75" hidden="1" outlineLevel="1" x14ac:dyDescent="0.25">
      <c r="B248" s="44">
        <f>'18'!$B$36</f>
        <v>0</v>
      </c>
      <c r="C248" s="45">
        <f>'18'!$Z$36</f>
        <v>0</v>
      </c>
      <c r="D248" s="45">
        <f>'18'!$AD$36</f>
        <v>0</v>
      </c>
      <c r="E248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48" s="25"/>
      <c r="G248" s="24"/>
      <c r="H248" s="24"/>
      <c r="I248" s="24"/>
      <c r="J248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48" s="27"/>
      <c r="L248" s="27"/>
      <c r="M248" s="27"/>
      <c r="N248" s="28"/>
      <c r="O248" s="34">
        <f t="shared" ca="1" si="17"/>
        <v>43710</v>
      </c>
      <c r="P248" s="30">
        <f>IF(Tabela63561221[[#This Row],[Iniciada]]&lt;&gt;"",1,0)</f>
        <v>0</v>
      </c>
      <c r="Q248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48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48" s="29">
        <f>IF(Tabela63561221[[#This Row],[Data Repactuada]]&lt;&gt;"",1,0)</f>
        <v>0</v>
      </c>
      <c r="T248" s="30">
        <f>IF(Tabela63561221[[#This Row],[Concluída]]&lt;&gt;"",1,0)</f>
        <v>0</v>
      </c>
    </row>
    <row r="249" spans="2:20" s="22" customFormat="1" ht="15.75" hidden="1" outlineLevel="1" x14ac:dyDescent="0.25">
      <c r="B249" s="44">
        <f>'18'!$B$37</f>
        <v>0</v>
      </c>
      <c r="C249" s="45">
        <f>'18'!$Z$37</f>
        <v>0</v>
      </c>
      <c r="D249" s="45">
        <f>'18'!$AD$37</f>
        <v>0</v>
      </c>
      <c r="E249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49" s="25"/>
      <c r="G249" s="24"/>
      <c r="H249" s="24"/>
      <c r="I249" s="24"/>
      <c r="J249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49" s="27"/>
      <c r="L249" s="27"/>
      <c r="M249" s="27"/>
      <c r="N249" s="28"/>
      <c r="O249" s="34">
        <f t="shared" ca="1" si="17"/>
        <v>43710</v>
      </c>
      <c r="P249" s="30">
        <f>IF(Tabela63561221[[#This Row],[Iniciada]]&lt;&gt;"",1,0)</f>
        <v>0</v>
      </c>
      <c r="Q249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49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49" s="29">
        <f>IF(Tabela63561221[[#This Row],[Data Repactuada]]&lt;&gt;"",1,0)</f>
        <v>0</v>
      </c>
      <c r="T249" s="30">
        <f>IF(Tabela63561221[[#This Row],[Concluída]]&lt;&gt;"",1,0)</f>
        <v>0</v>
      </c>
    </row>
    <row r="250" spans="2:20" s="22" customFormat="1" ht="15.75" hidden="1" outlineLevel="1" x14ac:dyDescent="0.25">
      <c r="B250" s="44">
        <f>'18'!$B$38</f>
        <v>0</v>
      </c>
      <c r="C250" s="45">
        <f>'18'!$Z$38</f>
        <v>0</v>
      </c>
      <c r="D250" s="45">
        <f>'18'!$AD$38</f>
        <v>0</v>
      </c>
      <c r="E250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50" s="25"/>
      <c r="G250" s="24"/>
      <c r="H250" s="24"/>
      <c r="I250" s="24"/>
      <c r="J250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50" s="27"/>
      <c r="L250" s="27"/>
      <c r="M250" s="27"/>
      <c r="N250" s="28"/>
      <c r="O250" s="34">
        <f t="shared" ca="1" si="17"/>
        <v>43710</v>
      </c>
      <c r="P250" s="30">
        <f>IF(Tabela63561221[[#This Row],[Iniciada]]&lt;&gt;"",1,0)</f>
        <v>0</v>
      </c>
      <c r="Q250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50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50" s="29">
        <f>IF(Tabela63561221[[#This Row],[Data Repactuada]]&lt;&gt;"",1,0)</f>
        <v>0</v>
      </c>
      <c r="T250" s="30">
        <f>IF(Tabela63561221[[#This Row],[Concluída]]&lt;&gt;"",1,0)</f>
        <v>0</v>
      </c>
    </row>
    <row r="251" spans="2:20" s="22" customFormat="1" ht="15.75" hidden="1" outlineLevel="1" x14ac:dyDescent="0.25">
      <c r="B251" s="44">
        <f>'18'!$B$39</f>
        <v>0</v>
      </c>
      <c r="C251" s="45">
        <f>'18'!$Z$39</f>
        <v>0</v>
      </c>
      <c r="D251" s="45">
        <f>'18'!$AD$39</f>
        <v>0</v>
      </c>
      <c r="E251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51" s="25"/>
      <c r="G251" s="24"/>
      <c r="H251" s="24"/>
      <c r="I251" s="24"/>
      <c r="J251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51" s="27"/>
      <c r="L251" s="27"/>
      <c r="M251" s="27"/>
      <c r="N251" s="28"/>
      <c r="O251" s="34">
        <f t="shared" ca="1" si="17"/>
        <v>43710</v>
      </c>
      <c r="P251" s="30">
        <f>IF(Tabela63561221[[#This Row],[Iniciada]]&lt;&gt;"",1,0)</f>
        <v>0</v>
      </c>
      <c r="Q251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51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51" s="29">
        <f>IF(Tabela63561221[[#This Row],[Data Repactuada]]&lt;&gt;"",1,0)</f>
        <v>0</v>
      </c>
      <c r="T251" s="30">
        <f>IF(Tabela63561221[[#This Row],[Concluída]]&lt;&gt;"",1,0)</f>
        <v>0</v>
      </c>
    </row>
    <row r="252" spans="2:20" s="22" customFormat="1" ht="15.75" hidden="1" outlineLevel="1" x14ac:dyDescent="0.25">
      <c r="B252" s="44">
        <f>'18'!$B$40</f>
        <v>0</v>
      </c>
      <c r="C252" s="45">
        <f>'18'!$Z$40</f>
        <v>0</v>
      </c>
      <c r="D252" s="45">
        <f>'18'!$AD$40</f>
        <v>0</v>
      </c>
      <c r="E252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52" s="25"/>
      <c r="G252" s="24"/>
      <c r="H252" s="24"/>
      <c r="I252" s="24"/>
      <c r="J252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52" s="27"/>
      <c r="L252" s="27"/>
      <c r="M252" s="27"/>
      <c r="N252" s="28"/>
      <c r="O252" s="34">
        <f t="shared" ca="1" si="17"/>
        <v>43710</v>
      </c>
      <c r="P252" s="30">
        <f>IF(Tabela63561221[[#This Row],[Iniciada]]&lt;&gt;"",1,0)</f>
        <v>0</v>
      </c>
      <c r="Q252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52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52" s="29">
        <f>IF(Tabela63561221[[#This Row],[Data Repactuada]]&lt;&gt;"",1,0)</f>
        <v>0</v>
      </c>
      <c r="T252" s="30">
        <f>IF(Tabela63561221[[#This Row],[Concluída]]&lt;&gt;"",1,0)</f>
        <v>0</v>
      </c>
    </row>
    <row r="253" spans="2:20" s="22" customFormat="1" ht="15.75" hidden="1" outlineLevel="1" x14ac:dyDescent="0.25">
      <c r="B253" s="44">
        <f>'18'!$B$41</f>
        <v>0</v>
      </c>
      <c r="C253" s="45">
        <f>'18'!$Z$41</f>
        <v>0</v>
      </c>
      <c r="D253" s="45">
        <f>'18'!$AD$41</f>
        <v>0</v>
      </c>
      <c r="E253" s="26" t="str">
        <f ca="1">IF(Tabela63561221[[#This Row],[Data Início Prevista]]&lt;&gt;"",IF(Tabela63561221[[#This Row],[Concluída]]&lt;&gt;"","Concluída",IF(Tabela63561221[[#This Row],[atraso inicio]]=1,"Atrasada",IF(Tabela63561221[[#This Row],[atraso FIM]]=1,"Atrasada",IF(Tabela63561221[[#This Row],[Cancelada]]&lt;&gt;"","Cancelada",IF(Tabela63561221[[#This Row],[Iniciada]]&lt;&gt;"","Iniciada",""))))))</f>
        <v/>
      </c>
      <c r="F253" s="25"/>
      <c r="G253" s="24"/>
      <c r="H253" s="24"/>
      <c r="I253" s="24"/>
      <c r="J253" s="37" t="str">
        <f ca="1">IF(Tabela63561221[[#This Row],[Status]]&lt;&gt;"Concluída","",IF(Tabela63561221[[#This Row],[Data Fim Real da Fase]]="","",IF(AND(Tabela63561221[[#This Row],[Status]]="Concluída",Tabela63561221[[#This Row],[Data Fim Real da Fase]]&lt;&gt;"",Tabela63561221[[#This Row],[Data Repactuada]]&lt;&gt;""),Tabela63561221[[#This Row],[Data Fim Real da Fase]]-Tabela63561221[[#This Row],[Data Repactuada]],Tabela63561221[[#This Row],[Data Fim Real da Fase]]-Tabela63561221[[#This Row],[Data Fim Prevista]])))</f>
        <v/>
      </c>
      <c r="K253" s="27"/>
      <c r="L253" s="27"/>
      <c r="M253" s="27"/>
      <c r="N253" s="28"/>
      <c r="O253" s="34">
        <f t="shared" ca="1" si="17"/>
        <v>43710</v>
      </c>
      <c r="P253" s="30">
        <f>IF(Tabela63561221[[#This Row],[Iniciada]]&lt;&gt;"",1,0)</f>
        <v>0</v>
      </c>
      <c r="Q253" s="30">
        <f ca="1">IF(Tabela63561221[[#This Row],[Já iniciada]]=1,0,IF(AND(Tabela63561221[[#This Row],[Data Início Prevista]]&lt;&gt;0,Tabela63561221[[#This Row],[éhoje]]&gt;Tabela63561221[[#This Row],[Data Início Prevista]]),1,0))</f>
        <v>0</v>
      </c>
      <c r="R253" s="30">
        <f>IF(Tabela63561221[[#This Row],[Concluido]]=1,0,IF(Tabela63561221[[#This Row],[Cancelada]]&lt;&gt;"",0,IF(Tabela63561221[[#This Row],[Data Fim Prevista]]=0,0,IF(Tabela63561221[[#This Row],[Repact]]=1,IF(Tabela63561221[[#This Row],[éhoje]]&lt;Tabela63561221[[#This Row],[Data Repactuada]],0,1),IF(Tabela63561221[[#This Row],[éhoje]]&gt;Tabela63561221[[#This Row],[Data Fim Prevista]],1,0)))))</f>
        <v>0</v>
      </c>
      <c r="S253" s="29">
        <f>IF(Tabela63561221[[#This Row],[Data Repactuada]]&lt;&gt;"",1,0)</f>
        <v>0</v>
      </c>
      <c r="T253" s="30">
        <f>IF(Tabela63561221[[#This Row],[Concluída]]&lt;&gt;"",1,0)</f>
        <v>0</v>
      </c>
    </row>
    <row r="254" spans="2:20" collapsed="1" x14ac:dyDescent="0.25"/>
    <row r="255" spans="2:20" x14ac:dyDescent="0.25"/>
    <row r="256" spans="2:20" s="43" customFormat="1" ht="21" customHeight="1" x14ac:dyDescent="0.25">
      <c r="B256" s="38" t="s">
        <v>159</v>
      </c>
      <c r="C256" s="129" t="str">
        <f>'19'!$H$6</f>
        <v>&lt;Nome curto / apelido / código do projeto &gt;</v>
      </c>
      <c r="D256" s="129"/>
      <c r="E256" s="129"/>
      <c r="F256" s="129"/>
      <c r="G256" s="129"/>
      <c r="H256" s="68" t="s">
        <v>138</v>
      </c>
      <c r="I256" s="39">
        <f>'19'!$H$11</f>
        <v>0</v>
      </c>
      <c r="J256" s="40" t="s">
        <v>140</v>
      </c>
      <c r="K256" s="39">
        <f>'19'!$AB$11</f>
        <v>0</v>
      </c>
      <c r="L256" s="41"/>
      <c r="M256" s="42"/>
      <c r="O256" s="47" t="s">
        <v>150</v>
      </c>
      <c r="P256" s="46"/>
      <c r="Q256" s="46"/>
      <c r="R256" s="46"/>
      <c r="S256" s="46"/>
      <c r="T256" s="46"/>
    </row>
    <row r="257" spans="2:20" s="23" customFormat="1" ht="31.5" hidden="1" customHeight="1" outlineLevel="1" x14ac:dyDescent="0.2">
      <c r="B257" s="31" t="s">
        <v>37</v>
      </c>
      <c r="C257" s="31" t="s">
        <v>139</v>
      </c>
      <c r="D257" s="31" t="s">
        <v>137</v>
      </c>
      <c r="E257" s="31" t="s">
        <v>116</v>
      </c>
      <c r="F257" s="31" t="s">
        <v>117</v>
      </c>
      <c r="G257" s="31" t="s">
        <v>118</v>
      </c>
      <c r="H257" s="31" t="s">
        <v>119</v>
      </c>
      <c r="I257" s="31" t="s">
        <v>120</v>
      </c>
      <c r="J257" s="31" t="s">
        <v>121</v>
      </c>
      <c r="K257" s="32" t="s">
        <v>122</v>
      </c>
      <c r="L257" s="32" t="s">
        <v>123</v>
      </c>
      <c r="M257" s="32" t="s">
        <v>124</v>
      </c>
      <c r="N257" s="28" t="s">
        <v>125</v>
      </c>
      <c r="O257" s="33" t="s">
        <v>126</v>
      </c>
      <c r="P257" s="32" t="s">
        <v>127</v>
      </c>
      <c r="Q257" s="32" t="s">
        <v>128</v>
      </c>
      <c r="R257" s="32" t="s">
        <v>129</v>
      </c>
      <c r="S257" s="32" t="s">
        <v>130</v>
      </c>
      <c r="T257" s="32" t="s">
        <v>131</v>
      </c>
    </row>
    <row r="258" spans="2:20" s="22" customFormat="1" ht="15.75" hidden="1" outlineLevel="1" x14ac:dyDescent="0.25">
      <c r="B258" s="44">
        <f>'19'!$B$32</f>
        <v>0</v>
      </c>
      <c r="C258" s="45">
        <f>'19'!$Z$32</f>
        <v>0</v>
      </c>
      <c r="D258" s="45">
        <f>'19'!$AD$32</f>
        <v>0</v>
      </c>
      <c r="E258" s="26" t="str">
        <f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>Concluída</v>
      </c>
      <c r="F258" s="25" t="s">
        <v>113</v>
      </c>
      <c r="G258" s="25"/>
      <c r="H258" s="24"/>
      <c r="I258" s="25">
        <v>43660</v>
      </c>
      <c r="J258" s="37">
        <f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>43660</v>
      </c>
      <c r="K258" s="27"/>
      <c r="L258" s="27">
        <v>43528</v>
      </c>
      <c r="M258" s="27"/>
      <c r="N258" s="28"/>
      <c r="O258" s="34">
        <f t="shared" ref="O258:O267" ca="1" si="18">TODAY()</f>
        <v>43710</v>
      </c>
      <c r="P258" s="30">
        <f>IF(Tabela63561222[[#This Row],[Iniciada]]&lt;&gt;"",1,0)</f>
        <v>0</v>
      </c>
      <c r="Q258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58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58" s="29">
        <f>IF(Tabela63561222[[#This Row],[Data Repactuada]]&lt;&gt;"",1,0)</f>
        <v>0</v>
      </c>
      <c r="T258" s="30">
        <f>IF(Tabela63561222[[#This Row],[Concluída]]&lt;&gt;"",1,0)</f>
        <v>1</v>
      </c>
    </row>
    <row r="259" spans="2:20" s="22" customFormat="1" ht="15.75" hidden="1" outlineLevel="1" x14ac:dyDescent="0.25">
      <c r="B259" s="44">
        <f>'19'!$B$33</f>
        <v>0</v>
      </c>
      <c r="C259" s="45">
        <f>'19'!$Z$33</f>
        <v>0</v>
      </c>
      <c r="D259" s="45">
        <f>'19'!$AD$33</f>
        <v>0</v>
      </c>
      <c r="E259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59" s="25"/>
      <c r="G259" s="24"/>
      <c r="H259" s="24"/>
      <c r="I259" s="24"/>
      <c r="J259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59" s="27"/>
      <c r="L259" s="27"/>
      <c r="M259" s="27"/>
      <c r="N259" s="28"/>
      <c r="O259" s="34">
        <f t="shared" ca="1" si="18"/>
        <v>43710</v>
      </c>
      <c r="P259" s="30">
        <f>IF(Tabela63561222[[#This Row],[Iniciada]]&lt;&gt;"",1,0)</f>
        <v>0</v>
      </c>
      <c r="Q259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59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59" s="29">
        <f>IF(Tabela63561222[[#This Row],[Data Repactuada]]&lt;&gt;"",1,0)</f>
        <v>0</v>
      </c>
      <c r="T259" s="30">
        <f>IF(Tabela63561222[[#This Row],[Concluída]]&lt;&gt;"",1,0)</f>
        <v>0</v>
      </c>
    </row>
    <row r="260" spans="2:20" s="22" customFormat="1" ht="15.75" hidden="1" outlineLevel="1" x14ac:dyDescent="0.25">
      <c r="B260" s="44">
        <f>'19'!$B$34</f>
        <v>0</v>
      </c>
      <c r="C260" s="45">
        <f>'19'!$Z$34</f>
        <v>0</v>
      </c>
      <c r="D260" s="45">
        <f>'19'!$AD$34</f>
        <v>0</v>
      </c>
      <c r="E260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60" s="25"/>
      <c r="G260" s="24"/>
      <c r="H260" s="24"/>
      <c r="I260" s="24"/>
      <c r="J260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60" s="27"/>
      <c r="L260" s="27"/>
      <c r="M260" s="27"/>
      <c r="N260" s="28"/>
      <c r="O260" s="34">
        <f t="shared" ca="1" si="18"/>
        <v>43710</v>
      </c>
      <c r="P260" s="30">
        <f>IF(Tabela63561222[[#This Row],[Iniciada]]&lt;&gt;"",1,0)</f>
        <v>0</v>
      </c>
      <c r="Q260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60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60" s="29">
        <f>IF(Tabela63561222[[#This Row],[Data Repactuada]]&lt;&gt;"",1,0)</f>
        <v>0</v>
      </c>
      <c r="T260" s="30">
        <f>IF(Tabela63561222[[#This Row],[Concluída]]&lt;&gt;"",1,0)</f>
        <v>0</v>
      </c>
    </row>
    <row r="261" spans="2:20" s="22" customFormat="1" ht="15.75" hidden="1" outlineLevel="1" x14ac:dyDescent="0.25">
      <c r="B261" s="44">
        <f>'19'!$B$35</f>
        <v>0</v>
      </c>
      <c r="C261" s="45">
        <f>'19'!$Z$35</f>
        <v>0</v>
      </c>
      <c r="D261" s="45">
        <f>'19'!$AD$35</f>
        <v>0</v>
      </c>
      <c r="E261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61" s="25"/>
      <c r="G261" s="24"/>
      <c r="H261" s="24"/>
      <c r="I261" s="24"/>
      <c r="J261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61" s="27"/>
      <c r="L261" s="27"/>
      <c r="M261" s="27"/>
      <c r="N261" s="28"/>
      <c r="O261" s="34">
        <f t="shared" ca="1" si="18"/>
        <v>43710</v>
      </c>
      <c r="P261" s="30">
        <f>IF(Tabela63561222[[#This Row],[Iniciada]]&lt;&gt;"",1,0)</f>
        <v>0</v>
      </c>
      <c r="Q261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61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61" s="29">
        <f>IF(Tabela63561222[[#This Row],[Data Repactuada]]&lt;&gt;"",1,0)</f>
        <v>0</v>
      </c>
      <c r="T261" s="30">
        <f>IF(Tabela63561222[[#This Row],[Concluída]]&lt;&gt;"",1,0)</f>
        <v>0</v>
      </c>
    </row>
    <row r="262" spans="2:20" s="22" customFormat="1" ht="15.75" hidden="1" outlineLevel="1" x14ac:dyDescent="0.25">
      <c r="B262" s="44">
        <f>'19'!$B$36</f>
        <v>0</v>
      </c>
      <c r="C262" s="45">
        <f>'19'!$Z$36</f>
        <v>0</v>
      </c>
      <c r="D262" s="45">
        <f>'19'!$AD$36</f>
        <v>0</v>
      </c>
      <c r="E262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62" s="25"/>
      <c r="G262" s="24"/>
      <c r="H262" s="24"/>
      <c r="I262" s="24"/>
      <c r="J262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62" s="27"/>
      <c r="L262" s="27"/>
      <c r="M262" s="27"/>
      <c r="N262" s="28"/>
      <c r="O262" s="34">
        <f t="shared" ca="1" si="18"/>
        <v>43710</v>
      </c>
      <c r="P262" s="30">
        <f>IF(Tabela63561222[[#This Row],[Iniciada]]&lt;&gt;"",1,0)</f>
        <v>0</v>
      </c>
      <c r="Q262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62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62" s="29">
        <f>IF(Tabela63561222[[#This Row],[Data Repactuada]]&lt;&gt;"",1,0)</f>
        <v>0</v>
      </c>
      <c r="T262" s="30">
        <f>IF(Tabela63561222[[#This Row],[Concluída]]&lt;&gt;"",1,0)</f>
        <v>0</v>
      </c>
    </row>
    <row r="263" spans="2:20" s="22" customFormat="1" ht="15.75" hidden="1" outlineLevel="1" x14ac:dyDescent="0.25">
      <c r="B263" s="44">
        <f>'19'!$B$37</f>
        <v>0</v>
      </c>
      <c r="C263" s="45">
        <f>'19'!$Z$37</f>
        <v>0</v>
      </c>
      <c r="D263" s="45">
        <f>'19'!$AD$37</f>
        <v>0</v>
      </c>
      <c r="E263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63" s="25"/>
      <c r="G263" s="24"/>
      <c r="H263" s="24"/>
      <c r="I263" s="24"/>
      <c r="J263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63" s="27"/>
      <c r="L263" s="27"/>
      <c r="M263" s="27"/>
      <c r="N263" s="28"/>
      <c r="O263" s="34">
        <f t="shared" ca="1" si="18"/>
        <v>43710</v>
      </c>
      <c r="P263" s="30">
        <f>IF(Tabela63561222[[#This Row],[Iniciada]]&lt;&gt;"",1,0)</f>
        <v>0</v>
      </c>
      <c r="Q263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63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63" s="29">
        <f>IF(Tabela63561222[[#This Row],[Data Repactuada]]&lt;&gt;"",1,0)</f>
        <v>0</v>
      </c>
      <c r="T263" s="30">
        <f>IF(Tabela63561222[[#This Row],[Concluída]]&lt;&gt;"",1,0)</f>
        <v>0</v>
      </c>
    </row>
    <row r="264" spans="2:20" s="22" customFormat="1" ht="15.75" hidden="1" outlineLevel="1" x14ac:dyDescent="0.25">
      <c r="B264" s="44">
        <f>'19'!$B$38</f>
        <v>0</v>
      </c>
      <c r="C264" s="45">
        <f>'19'!$Z$38</f>
        <v>0</v>
      </c>
      <c r="D264" s="45">
        <f>'19'!$AD$38</f>
        <v>0</v>
      </c>
      <c r="E264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64" s="25"/>
      <c r="G264" s="24"/>
      <c r="H264" s="24"/>
      <c r="I264" s="24"/>
      <c r="J264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64" s="27"/>
      <c r="L264" s="27"/>
      <c r="M264" s="27"/>
      <c r="N264" s="28"/>
      <c r="O264" s="34">
        <f t="shared" ca="1" si="18"/>
        <v>43710</v>
      </c>
      <c r="P264" s="30">
        <f>IF(Tabela63561222[[#This Row],[Iniciada]]&lt;&gt;"",1,0)</f>
        <v>0</v>
      </c>
      <c r="Q264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64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64" s="29">
        <f>IF(Tabela63561222[[#This Row],[Data Repactuada]]&lt;&gt;"",1,0)</f>
        <v>0</v>
      </c>
      <c r="T264" s="30">
        <f>IF(Tabela63561222[[#This Row],[Concluída]]&lt;&gt;"",1,0)</f>
        <v>0</v>
      </c>
    </row>
    <row r="265" spans="2:20" s="22" customFormat="1" ht="15.75" hidden="1" outlineLevel="1" x14ac:dyDescent="0.25">
      <c r="B265" s="44">
        <f>'19'!$B$39</f>
        <v>0</v>
      </c>
      <c r="C265" s="45">
        <f>'19'!$Z$39</f>
        <v>0</v>
      </c>
      <c r="D265" s="45">
        <f>'19'!$AD$39</f>
        <v>0</v>
      </c>
      <c r="E265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65" s="25"/>
      <c r="G265" s="24"/>
      <c r="H265" s="24"/>
      <c r="I265" s="24"/>
      <c r="J265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65" s="27"/>
      <c r="L265" s="27"/>
      <c r="M265" s="27"/>
      <c r="N265" s="28"/>
      <c r="O265" s="34">
        <f t="shared" ca="1" si="18"/>
        <v>43710</v>
      </c>
      <c r="P265" s="30">
        <f>IF(Tabela63561222[[#This Row],[Iniciada]]&lt;&gt;"",1,0)</f>
        <v>0</v>
      </c>
      <c r="Q265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65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65" s="29">
        <f>IF(Tabela63561222[[#This Row],[Data Repactuada]]&lt;&gt;"",1,0)</f>
        <v>0</v>
      </c>
      <c r="T265" s="30">
        <f>IF(Tabela63561222[[#This Row],[Concluída]]&lt;&gt;"",1,0)</f>
        <v>0</v>
      </c>
    </row>
    <row r="266" spans="2:20" s="22" customFormat="1" ht="15.75" hidden="1" outlineLevel="1" x14ac:dyDescent="0.25">
      <c r="B266" s="44">
        <f>'19'!$B$40</f>
        <v>0</v>
      </c>
      <c r="C266" s="45">
        <f>'19'!$Z$40</f>
        <v>0</v>
      </c>
      <c r="D266" s="45">
        <f>'19'!$AD$40</f>
        <v>0</v>
      </c>
      <c r="E266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66" s="25"/>
      <c r="G266" s="24"/>
      <c r="H266" s="24"/>
      <c r="I266" s="24"/>
      <c r="J266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66" s="27"/>
      <c r="L266" s="27"/>
      <c r="M266" s="27"/>
      <c r="N266" s="28"/>
      <c r="O266" s="34">
        <f t="shared" ca="1" si="18"/>
        <v>43710</v>
      </c>
      <c r="P266" s="30">
        <f>IF(Tabela63561222[[#This Row],[Iniciada]]&lt;&gt;"",1,0)</f>
        <v>0</v>
      </c>
      <c r="Q266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66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66" s="29">
        <f>IF(Tabela63561222[[#This Row],[Data Repactuada]]&lt;&gt;"",1,0)</f>
        <v>0</v>
      </c>
      <c r="T266" s="30">
        <f>IF(Tabela63561222[[#This Row],[Concluída]]&lt;&gt;"",1,0)</f>
        <v>0</v>
      </c>
    </row>
    <row r="267" spans="2:20" s="22" customFormat="1" ht="15.75" hidden="1" outlineLevel="1" x14ac:dyDescent="0.25">
      <c r="B267" s="44">
        <f>'19'!$B$41</f>
        <v>0</v>
      </c>
      <c r="C267" s="45">
        <f>'19'!$Z$41</f>
        <v>0</v>
      </c>
      <c r="D267" s="45">
        <f>'19'!$AD$41</f>
        <v>0</v>
      </c>
      <c r="E267" s="26" t="str">
        <f ca="1">IF(Tabela63561222[[#This Row],[Data Início Prevista]]&lt;&gt;"",IF(Tabela63561222[[#This Row],[Concluída]]&lt;&gt;"","Concluída",IF(Tabela63561222[[#This Row],[atraso inicio]]=1,"Atrasada",IF(Tabela63561222[[#This Row],[atraso FIM]]=1,"Atrasada",IF(Tabela63561222[[#This Row],[Cancelada]]&lt;&gt;"","Cancelada",IF(Tabela63561222[[#This Row],[Iniciada]]&lt;&gt;"","Iniciada",""))))))</f>
        <v/>
      </c>
      <c r="F267" s="25"/>
      <c r="G267" s="24"/>
      <c r="H267" s="24"/>
      <c r="I267" s="24"/>
      <c r="J267" s="37" t="str">
        <f ca="1">IF(Tabela63561222[[#This Row],[Status]]&lt;&gt;"Concluída","",IF(Tabela63561222[[#This Row],[Data Fim Real da Fase]]="","",IF(AND(Tabela63561222[[#This Row],[Status]]="Concluída",Tabela63561222[[#This Row],[Data Fim Real da Fase]]&lt;&gt;"",Tabela63561222[[#This Row],[Data Repactuada]]&lt;&gt;""),Tabela63561222[[#This Row],[Data Fim Real da Fase]]-Tabela63561222[[#This Row],[Data Repactuada]],Tabela63561222[[#This Row],[Data Fim Real da Fase]]-Tabela63561222[[#This Row],[Data Fim Prevista]])))</f>
        <v/>
      </c>
      <c r="K267" s="27"/>
      <c r="L267" s="27"/>
      <c r="M267" s="27"/>
      <c r="N267" s="28"/>
      <c r="O267" s="34">
        <f t="shared" ca="1" si="18"/>
        <v>43710</v>
      </c>
      <c r="P267" s="30">
        <f>IF(Tabela63561222[[#This Row],[Iniciada]]&lt;&gt;"",1,0)</f>
        <v>0</v>
      </c>
      <c r="Q267" s="30">
        <f ca="1">IF(Tabela63561222[[#This Row],[Já iniciada]]=1,0,IF(AND(Tabela63561222[[#This Row],[Data Início Prevista]]&lt;&gt;0,Tabela63561222[[#This Row],[éhoje]]&gt;Tabela63561222[[#This Row],[Data Início Prevista]]),1,0))</f>
        <v>0</v>
      </c>
      <c r="R267" s="30">
        <f>IF(Tabela63561222[[#This Row],[Concluido]]=1,0,IF(Tabela63561222[[#This Row],[Cancelada]]&lt;&gt;"",0,IF(Tabela63561222[[#This Row],[Data Fim Prevista]]=0,0,IF(Tabela63561222[[#This Row],[Repact]]=1,IF(Tabela63561222[[#This Row],[éhoje]]&lt;Tabela63561222[[#This Row],[Data Repactuada]],0,1),IF(Tabela63561222[[#This Row],[éhoje]]&gt;Tabela63561222[[#This Row],[Data Fim Prevista]],1,0)))))</f>
        <v>0</v>
      </c>
      <c r="S267" s="29">
        <f>IF(Tabela63561222[[#This Row],[Data Repactuada]]&lt;&gt;"",1,0)</f>
        <v>0</v>
      </c>
      <c r="T267" s="30">
        <f>IF(Tabela63561222[[#This Row],[Concluída]]&lt;&gt;"",1,0)</f>
        <v>0</v>
      </c>
    </row>
    <row r="268" spans="2:20" collapsed="1" x14ac:dyDescent="0.25"/>
    <row r="269" spans="2:20" x14ac:dyDescent="0.25"/>
    <row r="270" spans="2:20" s="43" customFormat="1" ht="21" customHeight="1" x14ac:dyDescent="0.25">
      <c r="B270" s="38" t="s">
        <v>160</v>
      </c>
      <c r="C270" s="129" t="str">
        <f>'20'!$H$6</f>
        <v>&lt;Nome curto / apelido / código do projeto &gt;</v>
      </c>
      <c r="D270" s="129"/>
      <c r="E270" s="129"/>
      <c r="F270" s="129"/>
      <c r="G270" s="129"/>
      <c r="H270" s="68" t="s">
        <v>138</v>
      </c>
      <c r="I270" s="39">
        <f>'20'!$H$11</f>
        <v>0</v>
      </c>
      <c r="J270" s="40" t="s">
        <v>140</v>
      </c>
      <c r="K270" s="39">
        <f>'20'!$AB$11</f>
        <v>0</v>
      </c>
      <c r="L270" s="41"/>
      <c r="M270" s="42"/>
      <c r="O270" s="47" t="s">
        <v>150</v>
      </c>
      <c r="P270" s="46"/>
      <c r="Q270" s="46"/>
      <c r="R270" s="46"/>
      <c r="S270" s="46"/>
      <c r="T270" s="46"/>
    </row>
    <row r="271" spans="2:20" s="23" customFormat="1" ht="31.5" hidden="1" customHeight="1" outlineLevel="1" x14ac:dyDescent="0.2">
      <c r="B271" s="31" t="s">
        <v>37</v>
      </c>
      <c r="C271" s="31" t="s">
        <v>139</v>
      </c>
      <c r="D271" s="31" t="s">
        <v>137</v>
      </c>
      <c r="E271" s="31" t="s">
        <v>116</v>
      </c>
      <c r="F271" s="31" t="s">
        <v>117</v>
      </c>
      <c r="G271" s="31" t="s">
        <v>118</v>
      </c>
      <c r="H271" s="31" t="s">
        <v>119</v>
      </c>
      <c r="I271" s="31" t="s">
        <v>120</v>
      </c>
      <c r="J271" s="31" t="s">
        <v>121</v>
      </c>
      <c r="K271" s="32" t="s">
        <v>122</v>
      </c>
      <c r="L271" s="32" t="s">
        <v>123</v>
      </c>
      <c r="M271" s="32" t="s">
        <v>124</v>
      </c>
      <c r="N271" s="28" t="s">
        <v>125</v>
      </c>
      <c r="O271" s="33" t="s">
        <v>126</v>
      </c>
      <c r="P271" s="32" t="s">
        <v>127</v>
      </c>
      <c r="Q271" s="32" t="s">
        <v>128</v>
      </c>
      <c r="R271" s="32" t="s">
        <v>129</v>
      </c>
      <c r="S271" s="32" t="s">
        <v>130</v>
      </c>
      <c r="T271" s="32" t="s">
        <v>131</v>
      </c>
    </row>
    <row r="272" spans="2:20" s="22" customFormat="1" ht="15.75" hidden="1" outlineLevel="1" x14ac:dyDescent="0.25">
      <c r="B272" s="44">
        <f>'20'!$B$32</f>
        <v>0</v>
      </c>
      <c r="C272" s="45">
        <f>'20'!$Z$32</f>
        <v>0</v>
      </c>
      <c r="D272" s="45">
        <f>'20'!$AD$32</f>
        <v>0</v>
      </c>
      <c r="E272" s="26" t="str">
        <f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>Concluída</v>
      </c>
      <c r="F272" s="25" t="s">
        <v>113</v>
      </c>
      <c r="G272" s="25">
        <v>43678</v>
      </c>
      <c r="H272" s="24" t="s">
        <v>113</v>
      </c>
      <c r="I272" s="25">
        <v>43661</v>
      </c>
      <c r="J272" s="37">
        <f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>-17</v>
      </c>
      <c r="K272" s="27">
        <v>43528</v>
      </c>
      <c r="L272" s="27">
        <v>43652</v>
      </c>
      <c r="M272" s="27"/>
      <c r="N272" s="28"/>
      <c r="O272" s="34">
        <f t="shared" ref="O272:O281" ca="1" si="19">TODAY()</f>
        <v>43710</v>
      </c>
      <c r="P272" s="30">
        <f>IF(Tabela63561223[[#This Row],[Iniciada]]&lt;&gt;"",1,0)</f>
        <v>1</v>
      </c>
      <c r="Q272" s="30">
        <f>IF(Tabela63561223[[#This Row],[Já iniciada]]=1,0,IF(AND(Tabela63561223[[#This Row],[Data Início Prevista]]&lt;&gt;0,Tabela63561223[[#This Row],[éhoje]]&gt;Tabela63561223[[#This Row],[Data Início Prevista]]),1,0))</f>
        <v>0</v>
      </c>
      <c r="R272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72" s="29">
        <f>IF(Tabela63561223[[#This Row],[Data Repactuada]]&lt;&gt;"",1,0)</f>
        <v>1</v>
      </c>
      <c r="T272" s="30">
        <f>IF(Tabela63561223[[#This Row],[Concluída]]&lt;&gt;"",1,0)</f>
        <v>1</v>
      </c>
    </row>
    <row r="273" spans="2:20" s="22" customFormat="1" ht="15.75" hidden="1" outlineLevel="1" x14ac:dyDescent="0.25">
      <c r="B273" s="44">
        <f>'20'!$B$33</f>
        <v>0</v>
      </c>
      <c r="C273" s="45">
        <f>'20'!$Z$33</f>
        <v>0</v>
      </c>
      <c r="D273" s="45">
        <f>'20'!$AD$33</f>
        <v>0</v>
      </c>
      <c r="E273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73" s="25"/>
      <c r="G273" s="24"/>
      <c r="H273" s="24"/>
      <c r="I273" s="24"/>
      <c r="J273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73" s="27"/>
      <c r="L273" s="27"/>
      <c r="M273" s="27"/>
      <c r="N273" s="28"/>
      <c r="O273" s="34">
        <f t="shared" ca="1" si="19"/>
        <v>43710</v>
      </c>
      <c r="P273" s="30">
        <f>IF(Tabela63561223[[#This Row],[Iniciada]]&lt;&gt;"",1,0)</f>
        <v>0</v>
      </c>
      <c r="Q273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73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73" s="29">
        <f>IF(Tabela63561223[[#This Row],[Data Repactuada]]&lt;&gt;"",1,0)</f>
        <v>0</v>
      </c>
      <c r="T273" s="30">
        <f>IF(Tabela63561223[[#This Row],[Concluída]]&lt;&gt;"",1,0)</f>
        <v>0</v>
      </c>
    </row>
    <row r="274" spans="2:20" s="22" customFormat="1" ht="15.75" hidden="1" outlineLevel="1" x14ac:dyDescent="0.25">
      <c r="B274" s="44">
        <f>'20'!$B$34</f>
        <v>0</v>
      </c>
      <c r="C274" s="45">
        <f>'20'!$Z$34</f>
        <v>0</v>
      </c>
      <c r="D274" s="45">
        <f>'20'!$AD$34</f>
        <v>0</v>
      </c>
      <c r="E274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74" s="25"/>
      <c r="G274" s="24"/>
      <c r="H274" s="24"/>
      <c r="I274" s="24"/>
      <c r="J274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74" s="27"/>
      <c r="L274" s="27"/>
      <c r="M274" s="27"/>
      <c r="N274" s="28"/>
      <c r="O274" s="34">
        <f t="shared" ca="1" si="19"/>
        <v>43710</v>
      </c>
      <c r="P274" s="30">
        <f>IF(Tabela63561223[[#This Row],[Iniciada]]&lt;&gt;"",1,0)</f>
        <v>0</v>
      </c>
      <c r="Q274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74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74" s="29">
        <f>IF(Tabela63561223[[#This Row],[Data Repactuada]]&lt;&gt;"",1,0)</f>
        <v>0</v>
      </c>
      <c r="T274" s="30">
        <f>IF(Tabela63561223[[#This Row],[Concluída]]&lt;&gt;"",1,0)</f>
        <v>0</v>
      </c>
    </row>
    <row r="275" spans="2:20" s="22" customFormat="1" ht="15.75" hidden="1" outlineLevel="1" x14ac:dyDescent="0.25">
      <c r="B275" s="44">
        <f>'20'!$B$35</f>
        <v>0</v>
      </c>
      <c r="C275" s="45">
        <f>'20'!$Z$35</f>
        <v>0</v>
      </c>
      <c r="D275" s="45">
        <f>'20'!$AD$35</f>
        <v>0</v>
      </c>
      <c r="E275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75" s="25"/>
      <c r="G275" s="24"/>
      <c r="H275" s="24"/>
      <c r="I275" s="24"/>
      <c r="J275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75" s="27"/>
      <c r="L275" s="27"/>
      <c r="M275" s="27"/>
      <c r="N275" s="28"/>
      <c r="O275" s="34">
        <f t="shared" ca="1" si="19"/>
        <v>43710</v>
      </c>
      <c r="P275" s="30">
        <f>IF(Tabela63561223[[#This Row],[Iniciada]]&lt;&gt;"",1,0)</f>
        <v>0</v>
      </c>
      <c r="Q275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75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75" s="29">
        <f>IF(Tabela63561223[[#This Row],[Data Repactuada]]&lt;&gt;"",1,0)</f>
        <v>0</v>
      </c>
      <c r="T275" s="30">
        <f>IF(Tabela63561223[[#This Row],[Concluída]]&lt;&gt;"",1,0)</f>
        <v>0</v>
      </c>
    </row>
    <row r="276" spans="2:20" s="22" customFormat="1" ht="15.75" hidden="1" outlineLevel="1" x14ac:dyDescent="0.25">
      <c r="B276" s="44">
        <f>'20'!$B$36</f>
        <v>0</v>
      </c>
      <c r="C276" s="45">
        <f>'20'!$Z$36</f>
        <v>0</v>
      </c>
      <c r="D276" s="45">
        <f>'20'!$AD$36</f>
        <v>0</v>
      </c>
      <c r="E276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76" s="25"/>
      <c r="G276" s="24"/>
      <c r="H276" s="24"/>
      <c r="I276" s="24"/>
      <c r="J276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76" s="27"/>
      <c r="L276" s="27"/>
      <c r="M276" s="27"/>
      <c r="N276" s="28"/>
      <c r="O276" s="34">
        <f t="shared" ca="1" si="19"/>
        <v>43710</v>
      </c>
      <c r="P276" s="30">
        <f>IF(Tabela63561223[[#This Row],[Iniciada]]&lt;&gt;"",1,0)</f>
        <v>0</v>
      </c>
      <c r="Q276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76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76" s="29">
        <f>IF(Tabela63561223[[#This Row],[Data Repactuada]]&lt;&gt;"",1,0)</f>
        <v>0</v>
      </c>
      <c r="T276" s="30">
        <f>IF(Tabela63561223[[#This Row],[Concluída]]&lt;&gt;"",1,0)</f>
        <v>0</v>
      </c>
    </row>
    <row r="277" spans="2:20" s="22" customFormat="1" ht="15.75" hidden="1" outlineLevel="1" x14ac:dyDescent="0.25">
      <c r="B277" s="44">
        <f>'20'!$B$37</f>
        <v>0</v>
      </c>
      <c r="C277" s="45">
        <f>'20'!$Z$37</f>
        <v>0</v>
      </c>
      <c r="D277" s="45">
        <f>'20'!$AD$37</f>
        <v>0</v>
      </c>
      <c r="E277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77" s="25"/>
      <c r="G277" s="24"/>
      <c r="H277" s="24"/>
      <c r="I277" s="24"/>
      <c r="J277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77" s="27"/>
      <c r="L277" s="27"/>
      <c r="M277" s="27"/>
      <c r="N277" s="28"/>
      <c r="O277" s="34">
        <f t="shared" ca="1" si="19"/>
        <v>43710</v>
      </c>
      <c r="P277" s="30">
        <f>IF(Tabela63561223[[#This Row],[Iniciada]]&lt;&gt;"",1,0)</f>
        <v>0</v>
      </c>
      <c r="Q277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77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77" s="29">
        <f>IF(Tabela63561223[[#This Row],[Data Repactuada]]&lt;&gt;"",1,0)</f>
        <v>0</v>
      </c>
      <c r="T277" s="30">
        <f>IF(Tabela63561223[[#This Row],[Concluída]]&lt;&gt;"",1,0)</f>
        <v>0</v>
      </c>
    </row>
    <row r="278" spans="2:20" s="22" customFormat="1" ht="15.75" hidden="1" outlineLevel="1" x14ac:dyDescent="0.25">
      <c r="B278" s="44">
        <f>'20'!$B$38</f>
        <v>0</v>
      </c>
      <c r="C278" s="45">
        <f>'20'!$Z$38</f>
        <v>0</v>
      </c>
      <c r="D278" s="45">
        <f>'20'!$AD$38</f>
        <v>0</v>
      </c>
      <c r="E278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78" s="25"/>
      <c r="G278" s="24"/>
      <c r="H278" s="24"/>
      <c r="I278" s="24"/>
      <c r="J278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78" s="27"/>
      <c r="L278" s="27"/>
      <c r="M278" s="27"/>
      <c r="N278" s="28"/>
      <c r="O278" s="34">
        <f t="shared" ca="1" si="19"/>
        <v>43710</v>
      </c>
      <c r="P278" s="30">
        <f>IF(Tabela63561223[[#This Row],[Iniciada]]&lt;&gt;"",1,0)</f>
        <v>0</v>
      </c>
      <c r="Q278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78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78" s="29">
        <f>IF(Tabela63561223[[#This Row],[Data Repactuada]]&lt;&gt;"",1,0)</f>
        <v>0</v>
      </c>
      <c r="T278" s="30">
        <f>IF(Tabela63561223[[#This Row],[Concluída]]&lt;&gt;"",1,0)</f>
        <v>0</v>
      </c>
    </row>
    <row r="279" spans="2:20" s="22" customFormat="1" ht="15.75" hidden="1" outlineLevel="1" x14ac:dyDescent="0.25">
      <c r="B279" s="44">
        <f>'20'!$B$39</f>
        <v>0</v>
      </c>
      <c r="C279" s="45">
        <f>'20'!$Z$39</f>
        <v>0</v>
      </c>
      <c r="D279" s="45">
        <f>'20'!$AD$39</f>
        <v>0</v>
      </c>
      <c r="E279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79" s="25"/>
      <c r="G279" s="24"/>
      <c r="H279" s="24"/>
      <c r="I279" s="24"/>
      <c r="J279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79" s="27"/>
      <c r="L279" s="27"/>
      <c r="M279" s="27"/>
      <c r="N279" s="28"/>
      <c r="O279" s="34">
        <f t="shared" ca="1" si="19"/>
        <v>43710</v>
      </c>
      <c r="P279" s="30">
        <f>IF(Tabela63561223[[#This Row],[Iniciada]]&lt;&gt;"",1,0)</f>
        <v>0</v>
      </c>
      <c r="Q279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79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79" s="29">
        <f>IF(Tabela63561223[[#This Row],[Data Repactuada]]&lt;&gt;"",1,0)</f>
        <v>0</v>
      </c>
      <c r="T279" s="30">
        <f>IF(Tabela63561223[[#This Row],[Concluída]]&lt;&gt;"",1,0)</f>
        <v>0</v>
      </c>
    </row>
    <row r="280" spans="2:20" s="22" customFormat="1" ht="15.75" hidden="1" outlineLevel="1" x14ac:dyDescent="0.25">
      <c r="B280" s="44">
        <f>'20'!$B$40</f>
        <v>0</v>
      </c>
      <c r="C280" s="45">
        <f>'20'!$Z$40</f>
        <v>0</v>
      </c>
      <c r="D280" s="45">
        <f>'20'!$AD$40</f>
        <v>0</v>
      </c>
      <c r="E280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80" s="25"/>
      <c r="G280" s="24"/>
      <c r="H280" s="24"/>
      <c r="I280" s="24"/>
      <c r="J280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80" s="27"/>
      <c r="L280" s="27"/>
      <c r="M280" s="27"/>
      <c r="N280" s="28"/>
      <c r="O280" s="34">
        <f t="shared" ca="1" si="19"/>
        <v>43710</v>
      </c>
      <c r="P280" s="30">
        <f>IF(Tabela63561223[[#This Row],[Iniciada]]&lt;&gt;"",1,0)</f>
        <v>0</v>
      </c>
      <c r="Q280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80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80" s="29">
        <f>IF(Tabela63561223[[#This Row],[Data Repactuada]]&lt;&gt;"",1,0)</f>
        <v>0</v>
      </c>
      <c r="T280" s="30">
        <f>IF(Tabela63561223[[#This Row],[Concluída]]&lt;&gt;"",1,0)</f>
        <v>0</v>
      </c>
    </row>
    <row r="281" spans="2:20" s="22" customFormat="1" ht="15.75" hidden="1" outlineLevel="1" x14ac:dyDescent="0.25">
      <c r="B281" s="44">
        <f>'20'!$B$41</f>
        <v>0</v>
      </c>
      <c r="C281" s="45">
        <f>'20'!$Z$41</f>
        <v>0</v>
      </c>
      <c r="D281" s="45">
        <f>'20'!$AD$41</f>
        <v>0</v>
      </c>
      <c r="E281" s="26" t="str">
        <f ca="1">IF(Tabela63561223[[#This Row],[Data Início Prevista]]&lt;&gt;"",IF(Tabela63561223[[#This Row],[Concluída]]&lt;&gt;"","Concluída",IF(Tabela63561223[[#This Row],[atraso inicio]]=1,"Atrasada",IF(Tabela63561223[[#This Row],[atraso FIM]]=1,"Atrasada",IF(Tabela63561223[[#This Row],[Cancelada]]&lt;&gt;"","Cancelada",IF(Tabela63561223[[#This Row],[Iniciada]]&lt;&gt;"","Iniciada",""))))))</f>
        <v/>
      </c>
      <c r="F281" s="25"/>
      <c r="G281" s="24"/>
      <c r="H281" s="24"/>
      <c r="I281" s="24"/>
      <c r="J281" s="37" t="str">
        <f ca="1">IF(Tabela63561223[[#This Row],[Status]]&lt;&gt;"Concluída","",IF(Tabela63561223[[#This Row],[Data Fim Real da Fase]]="","",IF(AND(Tabela63561223[[#This Row],[Status]]="Concluída",Tabela63561223[[#This Row],[Data Fim Real da Fase]]&lt;&gt;"",Tabela63561223[[#This Row],[Data Repactuada]]&lt;&gt;""),Tabela63561223[[#This Row],[Data Fim Real da Fase]]-Tabela63561223[[#This Row],[Data Repactuada]],Tabela63561223[[#This Row],[Data Fim Real da Fase]]-Tabela63561223[[#This Row],[Data Fim Prevista]])))</f>
        <v/>
      </c>
      <c r="K281" s="27"/>
      <c r="L281" s="27"/>
      <c r="M281" s="27"/>
      <c r="N281" s="28"/>
      <c r="O281" s="34">
        <f t="shared" ca="1" si="19"/>
        <v>43710</v>
      </c>
      <c r="P281" s="30">
        <f>IF(Tabela63561223[[#This Row],[Iniciada]]&lt;&gt;"",1,0)</f>
        <v>0</v>
      </c>
      <c r="Q281" s="30">
        <f ca="1">IF(Tabela63561223[[#This Row],[Já iniciada]]=1,0,IF(AND(Tabela63561223[[#This Row],[Data Início Prevista]]&lt;&gt;0,Tabela63561223[[#This Row],[éhoje]]&gt;Tabela63561223[[#This Row],[Data Início Prevista]]),1,0))</f>
        <v>0</v>
      </c>
      <c r="R281" s="30">
        <f>IF(Tabela63561223[[#This Row],[Concluido]]=1,0,IF(Tabela63561223[[#This Row],[Cancelada]]&lt;&gt;"",0,IF(Tabela63561223[[#This Row],[Data Fim Prevista]]=0,0,IF(Tabela63561223[[#This Row],[Repact]]=1,IF(Tabela63561223[[#This Row],[éhoje]]&lt;Tabela63561223[[#This Row],[Data Repactuada]],0,1),IF(Tabela63561223[[#This Row],[éhoje]]&gt;Tabela63561223[[#This Row],[Data Fim Prevista]],1,0)))))</f>
        <v>0</v>
      </c>
      <c r="S281" s="29">
        <f>IF(Tabela63561223[[#This Row],[Data Repactuada]]&lt;&gt;"",1,0)</f>
        <v>0</v>
      </c>
      <c r="T281" s="30">
        <f>IF(Tabela63561223[[#This Row],[Concluída]]&lt;&gt;"",1,0)</f>
        <v>0</v>
      </c>
    </row>
    <row r="282" spans="2:20" collapsed="1" x14ac:dyDescent="0.25"/>
    <row r="283" spans="2:20" x14ac:dyDescent="0.25"/>
    <row r="284" spans="2:20" x14ac:dyDescent="0.25"/>
    <row r="285" spans="2:20" x14ac:dyDescent="0.25"/>
    <row r="286" spans="2:20" x14ac:dyDescent="0.25"/>
    <row r="287" spans="2:20" x14ac:dyDescent="0.25"/>
    <row r="288" spans="2:20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</sheetData>
  <sheetProtection insertRows="0" deleteRows="0" sort="0" autoFilter="0" pivotTables="0"/>
  <mergeCells count="21">
    <mergeCell ref="B2:J2"/>
    <mergeCell ref="C214:G214"/>
    <mergeCell ref="C228:G228"/>
    <mergeCell ref="C242:G242"/>
    <mergeCell ref="C256:G256"/>
    <mergeCell ref="C270:G270"/>
    <mergeCell ref="C4:G4"/>
    <mergeCell ref="C18:G18"/>
    <mergeCell ref="C32:G32"/>
    <mergeCell ref="C200:G200"/>
    <mergeCell ref="C46:G46"/>
    <mergeCell ref="C60:G60"/>
    <mergeCell ref="C74:G74"/>
    <mergeCell ref="C88:G88"/>
    <mergeCell ref="C102:G102"/>
    <mergeCell ref="C116:G116"/>
    <mergeCell ref="C130:G130"/>
    <mergeCell ref="C144:G144"/>
    <mergeCell ref="C158:G158"/>
    <mergeCell ref="C172:G172"/>
    <mergeCell ref="C186:G186"/>
  </mergeCells>
  <conditionalFormatting sqref="E6:E15">
    <cfRule type="containsText" dxfId="618" priority="158" operator="containsText" text="Atrasada">
      <formula>NOT(ISERROR(SEARCH("Atrasada",E6)))</formula>
    </cfRule>
  </conditionalFormatting>
  <conditionalFormatting sqref="E6:E15">
    <cfRule type="containsText" dxfId="617" priority="15" operator="containsText" text="Concluída">
      <formula>NOT(ISERROR(SEARCH("Concluída",E6)))</formula>
    </cfRule>
  </conditionalFormatting>
  <conditionalFormatting sqref="E62">
    <cfRule type="containsText" dxfId="616" priority="86" operator="containsText" text="Concluída">
      <formula>NOT(ISERROR(SEARCH("Concluída",E62)))</formula>
    </cfRule>
  </conditionalFormatting>
  <conditionalFormatting sqref="E62">
    <cfRule type="containsText" dxfId="615" priority="87" operator="containsText" text="Atrasada">
      <formula>NOT(ISERROR(SEARCH("Atrasada",E62)))</formula>
    </cfRule>
  </conditionalFormatting>
  <conditionalFormatting sqref="E20:E29">
    <cfRule type="containsText" dxfId="614" priority="145" operator="containsText" text="Atrasada">
      <formula>NOT(ISERROR(SEARCH("Atrasada",E20)))</formula>
    </cfRule>
  </conditionalFormatting>
  <conditionalFormatting sqref="E20:E29">
    <cfRule type="containsText" dxfId="613" priority="144" operator="containsText" text="Concluída">
      <formula>NOT(ISERROR(SEARCH("Concluída",E20)))</formula>
    </cfRule>
  </conditionalFormatting>
  <conditionalFormatting sqref="E34:E43">
    <cfRule type="containsText" dxfId="612" priority="138" operator="containsText" text="Atrasada">
      <formula>NOT(ISERROR(SEARCH("Atrasada",E34)))</formula>
    </cfRule>
  </conditionalFormatting>
  <conditionalFormatting sqref="E34:E43">
    <cfRule type="containsText" dxfId="611" priority="137" operator="containsText" text="Concluída">
      <formula>NOT(ISERROR(SEARCH("Concluída",E34)))</formula>
    </cfRule>
  </conditionalFormatting>
  <conditionalFormatting sqref="E48:E57">
    <cfRule type="containsText" dxfId="610" priority="131" operator="containsText" text="Atrasada">
      <formula>NOT(ISERROR(SEARCH("Atrasada",E48)))</formula>
    </cfRule>
  </conditionalFormatting>
  <conditionalFormatting sqref="E48:E57">
    <cfRule type="containsText" dxfId="609" priority="130" operator="containsText" text="Concluída">
      <formula>NOT(ISERROR(SEARCH("Concluída",E48)))</formula>
    </cfRule>
  </conditionalFormatting>
  <conditionalFormatting sqref="E63:E71">
    <cfRule type="containsText" dxfId="608" priority="124" operator="containsText" text="Atrasada">
      <formula>NOT(ISERROR(SEARCH("Atrasada",E63)))</formula>
    </cfRule>
  </conditionalFormatting>
  <conditionalFormatting sqref="E63:E71">
    <cfRule type="containsText" dxfId="607" priority="123" operator="containsText" text="Concluída">
      <formula>NOT(ISERROR(SEARCH("Concluída",E63)))</formula>
    </cfRule>
  </conditionalFormatting>
  <conditionalFormatting sqref="E76:E85">
    <cfRule type="containsText" dxfId="606" priority="117" operator="containsText" text="Atrasada">
      <formula>NOT(ISERROR(SEARCH("Atrasada",E76)))</formula>
    </cfRule>
  </conditionalFormatting>
  <conditionalFormatting sqref="E76:E85">
    <cfRule type="containsText" dxfId="605" priority="116" operator="containsText" text="Concluída">
      <formula>NOT(ISERROR(SEARCH("Concluída",E76)))</formula>
    </cfRule>
  </conditionalFormatting>
  <conditionalFormatting sqref="E90:E99">
    <cfRule type="containsText" dxfId="604" priority="110" operator="containsText" text="Atrasada">
      <formula>NOT(ISERROR(SEARCH("Atrasada",E90)))</formula>
    </cfRule>
  </conditionalFormatting>
  <conditionalFormatting sqref="E90:E99">
    <cfRule type="containsText" dxfId="603" priority="109" operator="containsText" text="Concluída">
      <formula>NOT(ISERROR(SEARCH("Concluída",E90)))</formula>
    </cfRule>
  </conditionalFormatting>
  <conditionalFormatting sqref="E104:E113">
    <cfRule type="containsText" dxfId="602" priority="103" operator="containsText" text="Atrasada">
      <formula>NOT(ISERROR(SEARCH("Atrasada",E104)))</formula>
    </cfRule>
  </conditionalFormatting>
  <conditionalFormatting sqref="E104:E113">
    <cfRule type="containsText" dxfId="601" priority="102" operator="containsText" text="Concluída">
      <formula>NOT(ISERROR(SEARCH("Concluída",E104)))</formula>
    </cfRule>
  </conditionalFormatting>
  <conditionalFormatting sqref="E118:E127">
    <cfRule type="containsText" dxfId="600" priority="96" operator="containsText" text="Atrasada">
      <formula>NOT(ISERROR(SEARCH("Atrasada",E118)))</formula>
    </cfRule>
  </conditionalFormatting>
  <conditionalFormatting sqref="E118:E127">
    <cfRule type="containsText" dxfId="599" priority="95" operator="containsText" text="Concluída">
      <formula>NOT(ISERROR(SEARCH("Concluída",E118)))</formula>
    </cfRule>
  </conditionalFormatting>
  <conditionalFormatting sqref="E132:E141">
    <cfRule type="containsText" dxfId="598" priority="89" operator="containsText" text="Atrasada">
      <formula>NOT(ISERROR(SEARCH("Atrasada",E132)))</formula>
    </cfRule>
  </conditionalFormatting>
  <conditionalFormatting sqref="E132:E141">
    <cfRule type="containsText" dxfId="597" priority="88" operator="containsText" text="Concluída">
      <formula>NOT(ISERROR(SEARCH("Concluída",E132)))</formula>
    </cfRule>
  </conditionalFormatting>
  <conditionalFormatting sqref="F48:F57 F62:F71 F34:F43 F20:F29 F6:F15 F76:F85 F90:F99 F104:F113 F118:F127 F132:F141">
    <cfRule type="expression" priority="159" stopIfTrue="1">
      <formula>$F6:$F15&lt;&gt;""</formula>
    </cfRule>
    <cfRule type="expression" dxfId="596" priority="171">
      <formula>$E6:$E15="Concluída"</formula>
    </cfRule>
  </conditionalFormatting>
  <conditionalFormatting sqref="H48:H57 H62:H71 H34:H43 H20:H29 H6:H15 H76:H85 H90:H99 H104:H113 H118:H127 H132:H141">
    <cfRule type="expression" priority="172" stopIfTrue="1">
      <formula>H6:H15&lt;&gt;""</formula>
    </cfRule>
    <cfRule type="expression" dxfId="595" priority="175">
      <formula>$G6:$G15&lt;&gt;""</formula>
    </cfRule>
  </conditionalFormatting>
  <conditionalFormatting sqref="I48:I57 I62:I71 I34:I43 I20:I29 I6:I15 I76:I85 I90:I99 I104:I113 I118:I127 I132:I141">
    <cfRule type="expression" dxfId="594" priority="179">
      <formula>$E6:$E15="Concluída"</formula>
    </cfRule>
  </conditionalFormatting>
  <conditionalFormatting sqref="E146:E155">
    <cfRule type="containsText" dxfId="593" priority="80" operator="containsText" text="Atrasada">
      <formula>NOT(ISERROR(SEARCH("Atrasada",E146)))</formula>
    </cfRule>
  </conditionalFormatting>
  <conditionalFormatting sqref="E146:E155">
    <cfRule type="containsText" dxfId="592" priority="79" operator="containsText" text="Concluída">
      <formula>NOT(ISERROR(SEARCH("Concluída",E146)))</formula>
    </cfRule>
  </conditionalFormatting>
  <conditionalFormatting sqref="F146:F155">
    <cfRule type="expression" priority="81" stopIfTrue="1">
      <formula>$G146:$G155&lt;&gt;""</formula>
    </cfRule>
    <cfRule type="expression" dxfId="591" priority="82">
      <formula>$E146:$E155="Concluída"</formula>
    </cfRule>
  </conditionalFormatting>
  <conditionalFormatting sqref="H146:H155">
    <cfRule type="expression" priority="83" stopIfTrue="1">
      <formula>H146:H155&lt;&gt;""</formula>
    </cfRule>
    <cfRule type="expression" dxfId="590" priority="84">
      <formula>$G146:$G155&lt;&gt;""</formula>
    </cfRule>
  </conditionalFormatting>
  <conditionalFormatting sqref="I146:I155">
    <cfRule type="expression" dxfId="589" priority="85">
      <formula>$E146:$E155="Concluída"</formula>
    </cfRule>
  </conditionalFormatting>
  <conditionalFormatting sqref="E160:E169">
    <cfRule type="containsText" dxfId="588" priority="73" operator="containsText" text="Atrasada">
      <formula>NOT(ISERROR(SEARCH("Atrasada",E160)))</formula>
    </cfRule>
  </conditionalFormatting>
  <conditionalFormatting sqref="E160:E169">
    <cfRule type="containsText" dxfId="587" priority="72" operator="containsText" text="Concluída">
      <formula>NOT(ISERROR(SEARCH("Concluída",E160)))</formula>
    </cfRule>
  </conditionalFormatting>
  <conditionalFormatting sqref="F160:F169">
    <cfRule type="expression" priority="74" stopIfTrue="1">
      <formula>$G160:$G169&lt;&gt;""</formula>
    </cfRule>
    <cfRule type="expression" dxfId="586" priority="75">
      <formula>$E160:$E169="Concluída"</formula>
    </cfRule>
  </conditionalFormatting>
  <conditionalFormatting sqref="H160:H169">
    <cfRule type="expression" priority="76" stopIfTrue="1">
      <formula>H160:H169&lt;&gt;""</formula>
    </cfRule>
    <cfRule type="expression" dxfId="585" priority="77">
      <formula>$G160:$G169&lt;&gt;""</formula>
    </cfRule>
  </conditionalFormatting>
  <conditionalFormatting sqref="I160:I169">
    <cfRule type="expression" dxfId="584" priority="78">
      <formula>$E160:$E169="Concluída"</formula>
    </cfRule>
  </conditionalFormatting>
  <conditionalFormatting sqref="E174:E183">
    <cfRule type="containsText" dxfId="583" priority="66" operator="containsText" text="Atrasada">
      <formula>NOT(ISERROR(SEARCH("Atrasada",E174)))</formula>
    </cfRule>
  </conditionalFormatting>
  <conditionalFormatting sqref="E174:E183">
    <cfRule type="containsText" dxfId="582" priority="65" operator="containsText" text="Concluída">
      <formula>NOT(ISERROR(SEARCH("Concluída",E174)))</formula>
    </cfRule>
  </conditionalFormatting>
  <conditionalFormatting sqref="F174:F183">
    <cfRule type="expression" priority="67" stopIfTrue="1">
      <formula>$G174:$G183&lt;&gt;""</formula>
    </cfRule>
    <cfRule type="expression" dxfId="581" priority="68">
      <formula>$E174:$E183="Concluída"</formula>
    </cfRule>
  </conditionalFormatting>
  <conditionalFormatting sqref="H174:H183">
    <cfRule type="expression" priority="69" stopIfTrue="1">
      <formula>H174:H183&lt;&gt;""</formula>
    </cfRule>
    <cfRule type="expression" dxfId="580" priority="70">
      <formula>$G174:$G183&lt;&gt;""</formula>
    </cfRule>
  </conditionalFormatting>
  <conditionalFormatting sqref="I174:I183">
    <cfRule type="expression" dxfId="579" priority="71">
      <formula>$E174:$E183="Concluída"</formula>
    </cfRule>
  </conditionalFormatting>
  <conditionalFormatting sqref="E188:E197">
    <cfRule type="containsText" dxfId="578" priority="59" operator="containsText" text="Atrasada">
      <formula>NOT(ISERROR(SEARCH("Atrasada",E188)))</formula>
    </cfRule>
  </conditionalFormatting>
  <conditionalFormatting sqref="E188:E197">
    <cfRule type="containsText" dxfId="577" priority="58" operator="containsText" text="Concluída">
      <formula>NOT(ISERROR(SEARCH("Concluída",E188)))</formula>
    </cfRule>
  </conditionalFormatting>
  <conditionalFormatting sqref="F188:F197">
    <cfRule type="expression" priority="60" stopIfTrue="1">
      <formula>$G188:$G197&lt;&gt;""</formula>
    </cfRule>
    <cfRule type="expression" dxfId="576" priority="61">
      <formula>$E188:$E197="Concluída"</formula>
    </cfRule>
  </conditionalFormatting>
  <conditionalFormatting sqref="H188:H197">
    <cfRule type="expression" priority="62" stopIfTrue="1">
      <formula>H188:H197&lt;&gt;""</formula>
    </cfRule>
    <cfRule type="expression" dxfId="575" priority="63">
      <formula>$G188:$G197&lt;&gt;""</formula>
    </cfRule>
  </conditionalFormatting>
  <conditionalFormatting sqref="I188:I197">
    <cfRule type="expression" dxfId="574" priority="64">
      <formula>$E188:$E197="Concluída"</formula>
    </cfRule>
  </conditionalFormatting>
  <conditionalFormatting sqref="E202:E211">
    <cfRule type="containsText" dxfId="573" priority="52" operator="containsText" text="Atrasada">
      <formula>NOT(ISERROR(SEARCH("Atrasada",E202)))</formula>
    </cfRule>
  </conditionalFormatting>
  <conditionalFormatting sqref="E202:E211">
    <cfRule type="containsText" dxfId="572" priority="51" operator="containsText" text="Concluída">
      <formula>NOT(ISERROR(SEARCH("Concluída",E202)))</formula>
    </cfRule>
  </conditionalFormatting>
  <conditionalFormatting sqref="F202:F211">
    <cfRule type="expression" priority="53" stopIfTrue="1">
      <formula>$G202:$G211&lt;&gt;""</formula>
    </cfRule>
    <cfRule type="expression" dxfId="571" priority="54">
      <formula>$E202:$E211="Concluída"</formula>
    </cfRule>
  </conditionalFormatting>
  <conditionalFormatting sqref="H202:H211">
    <cfRule type="expression" priority="55" stopIfTrue="1">
      <formula>H202:H211&lt;&gt;""</formula>
    </cfRule>
    <cfRule type="expression" dxfId="570" priority="56">
      <formula>$G202:$G211&lt;&gt;""</formula>
    </cfRule>
  </conditionalFormatting>
  <conditionalFormatting sqref="I202:I211">
    <cfRule type="expression" dxfId="569" priority="57">
      <formula>$E202:$E211="Concluída"</formula>
    </cfRule>
  </conditionalFormatting>
  <conditionalFormatting sqref="E216:E225">
    <cfRule type="containsText" dxfId="568" priority="45" operator="containsText" text="Atrasada">
      <formula>NOT(ISERROR(SEARCH("Atrasada",E216)))</formula>
    </cfRule>
  </conditionalFormatting>
  <conditionalFormatting sqref="E216:E225">
    <cfRule type="containsText" dxfId="567" priority="44" operator="containsText" text="Concluída">
      <formula>NOT(ISERROR(SEARCH("Concluída",E216)))</formula>
    </cfRule>
  </conditionalFormatting>
  <conditionalFormatting sqref="F216:F225">
    <cfRule type="expression" priority="46" stopIfTrue="1">
      <formula>$G216:$G225&lt;&gt;""</formula>
    </cfRule>
    <cfRule type="expression" dxfId="566" priority="47">
      <formula>$E216:$E225="Concluída"</formula>
    </cfRule>
  </conditionalFormatting>
  <conditionalFormatting sqref="H216:H225">
    <cfRule type="expression" priority="48" stopIfTrue="1">
      <formula>H216:H225&lt;&gt;""</formula>
    </cfRule>
    <cfRule type="expression" dxfId="565" priority="49">
      <formula>$G216:$G225&lt;&gt;""</formula>
    </cfRule>
  </conditionalFormatting>
  <conditionalFormatting sqref="I216:I225">
    <cfRule type="expression" dxfId="564" priority="50">
      <formula>$E216:$E225="Concluída"</formula>
    </cfRule>
  </conditionalFormatting>
  <conditionalFormatting sqref="E230:E239">
    <cfRule type="containsText" dxfId="563" priority="37" operator="containsText" text="Atrasada">
      <formula>NOT(ISERROR(SEARCH("Atrasada",E230)))</formula>
    </cfRule>
  </conditionalFormatting>
  <conditionalFormatting sqref="E230:E239">
    <cfRule type="containsText" dxfId="562" priority="10" operator="containsText" text="Concluída">
      <formula>NOT(ISERROR(SEARCH("Concluída",E230)))</formula>
    </cfRule>
  </conditionalFormatting>
  <conditionalFormatting sqref="F230:F239">
    <cfRule type="expression" priority="38" stopIfTrue="1">
      <formula>$F230:$F239&lt;&gt;""</formula>
    </cfRule>
    <cfRule type="expression" dxfId="561" priority="39">
      <formula>$E230:$E239="Concluída"</formula>
    </cfRule>
  </conditionalFormatting>
  <conditionalFormatting sqref="H230:H239">
    <cfRule type="expression" priority="40" stopIfTrue="1">
      <formula>H230:H239&lt;&gt;""</formula>
    </cfRule>
    <cfRule type="expression" dxfId="560" priority="41">
      <formula>$G230:$G239&lt;&gt;""</formula>
    </cfRule>
  </conditionalFormatting>
  <conditionalFormatting sqref="I230:I239">
    <cfRule type="expression" priority="42" stopIfTrue="1">
      <formula>$I230:$I239&lt;&gt;""</formula>
    </cfRule>
    <cfRule type="expression" dxfId="559" priority="43">
      <formula>$E230:$E239="Concluída"</formula>
    </cfRule>
  </conditionalFormatting>
  <conditionalFormatting sqref="E244:E253">
    <cfRule type="containsText" dxfId="558" priority="30" operator="containsText" text="Atrasada">
      <formula>NOT(ISERROR(SEARCH("Atrasada",E244)))</formula>
    </cfRule>
  </conditionalFormatting>
  <conditionalFormatting sqref="E244:E253">
    <cfRule type="containsText" dxfId="557" priority="11" operator="containsText" text="Concluída">
      <formula>NOT(ISERROR(SEARCH("Concluída",E244)))</formula>
    </cfRule>
  </conditionalFormatting>
  <conditionalFormatting sqref="F244:F253">
    <cfRule type="expression" priority="31" stopIfTrue="1">
      <formula>$F244:$F253&lt;&gt;""</formula>
    </cfRule>
    <cfRule type="expression" dxfId="556" priority="32">
      <formula>$E244:$E253="Concluída"</formula>
    </cfRule>
  </conditionalFormatting>
  <conditionalFormatting sqref="H244:H253">
    <cfRule type="expression" priority="33" stopIfTrue="1">
      <formula>H244:H253&lt;&gt;""</formula>
    </cfRule>
    <cfRule type="expression" dxfId="555" priority="34">
      <formula>$G244:$G253&lt;&gt;""</formula>
    </cfRule>
  </conditionalFormatting>
  <conditionalFormatting sqref="I244:I253">
    <cfRule type="expression" priority="35" stopIfTrue="1">
      <formula>$I244:$I253&lt;&gt;""</formula>
    </cfRule>
    <cfRule type="expression" dxfId="554" priority="36">
      <formula>$E244:$E253="Concluída"</formula>
    </cfRule>
  </conditionalFormatting>
  <conditionalFormatting sqref="E258:E267">
    <cfRule type="containsText" dxfId="553" priority="23" operator="containsText" text="Atrasada">
      <formula>NOT(ISERROR(SEARCH("Atrasada",E258)))</formula>
    </cfRule>
  </conditionalFormatting>
  <conditionalFormatting sqref="E258:E267">
    <cfRule type="containsText" dxfId="552" priority="12" operator="containsText" text="Concluída">
      <formula>NOT(ISERROR(SEARCH("Concluída",E258)))</formula>
    </cfRule>
  </conditionalFormatting>
  <conditionalFormatting sqref="F258:F267">
    <cfRule type="expression" priority="24" stopIfTrue="1">
      <formula>$F258:$F267&lt;&gt;""</formula>
    </cfRule>
    <cfRule type="expression" dxfId="551" priority="25">
      <formula>$E258:$E267="Concluída"</formula>
    </cfRule>
  </conditionalFormatting>
  <conditionalFormatting sqref="H258:H267">
    <cfRule type="expression" priority="26" stopIfTrue="1">
      <formula>H258:H267&lt;&gt;""</formula>
    </cfRule>
    <cfRule type="expression" dxfId="550" priority="27">
      <formula>$G258:$G267&lt;&gt;""</formula>
    </cfRule>
  </conditionalFormatting>
  <conditionalFormatting sqref="I258:I267">
    <cfRule type="expression" priority="28" stopIfTrue="1">
      <formula>$I$258:$I$267&lt;&gt;""</formula>
    </cfRule>
    <cfRule type="expression" dxfId="549" priority="29">
      <formula>$E258:$E267="Concluída"</formula>
    </cfRule>
  </conditionalFormatting>
  <conditionalFormatting sqref="E272:E281">
    <cfRule type="containsText" dxfId="548" priority="16" operator="containsText" text="Atrasada">
      <formula>NOT(ISERROR(SEARCH("Atrasada",E272)))</formula>
    </cfRule>
  </conditionalFormatting>
  <conditionalFormatting sqref="E272:E281">
    <cfRule type="containsText" dxfId="547" priority="13" operator="containsText" text="Concluída">
      <formula>NOT(ISERROR(SEARCH("Concluída",E272)))</formula>
    </cfRule>
  </conditionalFormatting>
  <conditionalFormatting sqref="F272:F281">
    <cfRule type="expression" priority="17" stopIfTrue="1">
      <formula>$F272:$F281&lt;&gt;""</formula>
    </cfRule>
    <cfRule type="expression" dxfId="546" priority="18">
      <formula>$E272:$E281="Concluída"</formula>
    </cfRule>
  </conditionalFormatting>
  <conditionalFormatting sqref="H272:H281">
    <cfRule type="expression" priority="19" stopIfTrue="1">
      <formula>H272:H281&lt;&gt;""</formula>
    </cfRule>
    <cfRule type="expression" dxfId="545" priority="20">
      <formula>$G272:$G281&lt;&gt;""</formula>
    </cfRule>
  </conditionalFormatting>
  <conditionalFormatting sqref="I272:I281">
    <cfRule type="expression" priority="21" stopIfTrue="1">
      <formula>$I$272:$I$281&lt;&gt;""</formula>
    </cfRule>
    <cfRule type="expression" dxfId="544" priority="22">
      <formula>$E272:$E281="Concluída"</formula>
    </cfRule>
  </conditionalFormatting>
  <conditionalFormatting sqref="I34:I43 I20:I29 I6:I15">
    <cfRule type="expression" priority="14">
      <formula>"&lt;&gt;"""""</formula>
    </cfRule>
  </conditionalFormatting>
  <conditionalFormatting sqref="I6:I15">
    <cfRule type="expression" priority="176" stopIfTrue="1">
      <formula>I$6:I$15&lt;&gt;""</formula>
    </cfRule>
  </conditionalFormatting>
  <conditionalFormatting sqref="I216:I225">
    <cfRule type="expression" priority="8" stopIfTrue="1">
      <formula>$I216:$I225&lt;&gt;""</formula>
    </cfRule>
    <cfRule type="expression" dxfId="543" priority="9">
      <formula>$E216:$E225="Concluída"</formula>
    </cfRule>
  </conditionalFormatting>
  <conditionalFormatting sqref="F216:F225">
    <cfRule type="expression" priority="6" stopIfTrue="1">
      <formula>$F216:$F225&lt;&gt;""</formula>
    </cfRule>
    <cfRule type="expression" dxfId="542" priority="7">
      <formula>$E216:$E225="Concluída"</formula>
    </cfRule>
  </conditionalFormatting>
  <conditionalFormatting sqref="I20:I29 I34:I43 I48:I57 I62:I71 I76:I85 I90:I99 I104:I113 I118:I127 I132:I141 I146:I155 I160:I169 I174:I183 I188:I197 I202:I211">
    <cfRule type="expression" dxfId="541" priority="5">
      <formula>$E20:$E29="Concluída"</formula>
    </cfRule>
  </conditionalFormatting>
  <conditionalFormatting sqref="I20:I29 I34:I43 I48:I57 I62:I71 I76:I85 I90:I99 I104:I113 I118:I127 I132:I141 I146:I155 I160:I169 I174:I183 I188:I197 I202:I211">
    <cfRule type="expression" priority="3" stopIfTrue="1">
      <formula>$I20:$I29&lt;&gt;""</formula>
    </cfRule>
    <cfRule type="expression" dxfId="540" priority="4">
      <formula>$E20:$E29="Concluída"</formula>
    </cfRule>
  </conditionalFormatting>
  <conditionalFormatting sqref="F48:F57 F62:F71 F76:F85 F90:F99 F104:F113 F118:F127 F132:F141 F146:F155 F160:F169 F174:F183 F188:F197 F202:F211">
    <cfRule type="expression" priority="1" stopIfTrue="1">
      <formula>$F48:$F57&lt;&gt;""</formula>
    </cfRule>
    <cfRule type="expression" dxfId="539" priority="2">
      <formula>$E48:$E57="Concluída"</formula>
    </cfRule>
  </conditionalFormatting>
  <dataValidations count="2">
    <dataValidation type="date" allowBlank="1" showInputMessage="1" showErrorMessage="1" error="Indique uma data válida" sqref="G6:G15 O6:O15 C6:D15 G20:G29 O20:O29 C20:D29 G34:G43 O34:O43 C34:D43 G48:G57 O48:O57 C48:D57 G62:G71 O62:O71 C62:D71 G76:G85 O76:O85 C76:D85 G90:G99 O90:O99 C90:D99 G104:G113 O104:O113 C104:D113 G118:G127 O118:O127 C118:D127 G132:G141 O132:O141 C132:D141 G146:G155 O146:O155 C146:D155 G160:G169 O160:O169 C160:D169 G174:G183 O174:O183 C174:D183 G188:G197 O188:O197 C188:D197 G202:G211 O202:O211 C202:D211 G216:G225 O216:O225 C216:D225 G230:G239 O230:O239 C230:D239 G244:G253 O244:O253 C244:D253 G258:G267 O258:O267 C258:D267 G272:G281 O272:O281 C272:D281" xr:uid="{647E8C20-7FBC-4AE6-AE5B-BFF0967C81C6}">
      <formula1>42736</formula1>
      <formula2>55153</formula2>
    </dataValidation>
    <dataValidation type="custom" allowBlank="1" showInputMessage="1" showErrorMessage="1" error="Só é possível indicar a data fim após a atualização do status da entrega para Concluída!" sqref="I62:I71 I76:I85 I48:I57 I34:I43 I6:I15 I90:I99 I104:I113 I118:I127 I132:I141 I146:I155 I160:I169 I174:I183 I188:I197 I202:I211 I216:I225 I272:I281 I230:I239 I244:I253 I258:I267 I20:I29" xr:uid="{95A5605F-AD93-4052-953E-D894A6299CF0}">
      <formula1>T6=1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ignoredErrors>
    <ignoredError sqref="C132:D141 C118:D127 C104:D113 C90:D99 C76:D85 C62:D71 C48:D57 C272:D281 C258:D267 C244:D253 C230:D239 C216:D225 C202:D211 C188:D197 C174:D183 C160:D169 C146:D155" listDataValidation="1"/>
  </ignoredErrors>
  <tableParts count="2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Selecione da lista" xr:uid="{8B459A90-435D-4F33-BB53-8F48877A3C3E}">
          <x14:formula1>
            <xm:f>Listas!$A$2:$A$41</xm:f>
          </x14:formula1>
          <xm:sqref>K6:M15 K272:M281 K258:M267 K244:M253 K230:M239 K216:M225 K202:M211 K188:M197 K174:M183 K160:M169 K146:M155 K132:M141 K118:M127 K104:M113 K90:M99 K76:M85 K62:M71 K48:M57 K34:M43 K20:M29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66A65-3AEE-4725-8702-790FB0E6C95D}">
  <sheetPr codeName="Planilha23"/>
  <dimension ref="A1:L149"/>
  <sheetViews>
    <sheetView showGridLines="0" showRowColHeaders="0" showZeros="0" zoomScaleNormal="100" workbookViewId="0">
      <selection activeCell="G38" sqref="G38"/>
    </sheetView>
  </sheetViews>
  <sheetFormatPr defaultColWidth="0" defaultRowHeight="15" zeroHeight="1" x14ac:dyDescent="0.25"/>
  <cols>
    <col min="1" max="1" width="9.140625" customWidth="1"/>
    <col min="2" max="2" width="28.28515625" customWidth="1"/>
    <col min="3" max="3" width="13.42578125" style="67" bestFit="1" customWidth="1"/>
    <col min="4" max="4" width="12" hidden="1" customWidth="1"/>
    <col min="5" max="5" width="9.5703125" style="58" hidden="1" customWidth="1"/>
    <col min="6" max="6" width="11.28515625" style="58" hidden="1" customWidth="1"/>
    <col min="7" max="7" width="14.28515625" style="60" bestFit="1" customWidth="1"/>
    <col min="8" max="8" width="11.28515625" bestFit="1" customWidth="1"/>
    <col min="9" max="9" width="12.85546875" bestFit="1" customWidth="1"/>
    <col min="10" max="10" width="9.85546875" style="58" bestFit="1" customWidth="1"/>
    <col min="11" max="12" width="9.140625" customWidth="1"/>
    <col min="13" max="16384" width="9.140625" hidden="1"/>
  </cols>
  <sheetData>
    <row r="1" spans="2:10" s="62" customFormat="1" ht="35.25" customHeight="1" x14ac:dyDescent="0.3">
      <c r="B1" s="63" t="s">
        <v>48</v>
      </c>
      <c r="C1" s="63" t="s">
        <v>405</v>
      </c>
      <c r="D1" s="63" t="s">
        <v>395</v>
      </c>
      <c r="E1" s="64" t="s">
        <v>397</v>
      </c>
      <c r="F1" s="64" t="s">
        <v>398</v>
      </c>
      <c r="G1" s="65" t="s">
        <v>396</v>
      </c>
      <c r="H1" s="66" t="s">
        <v>407</v>
      </c>
      <c r="I1" s="66" t="s">
        <v>408</v>
      </c>
      <c r="J1" s="64" t="s">
        <v>409</v>
      </c>
    </row>
    <row r="2" spans="2:10" hidden="1" x14ac:dyDescent="0.25">
      <c r="B2" s="58">
        <f t="shared" ref="B2:B33" si="0">INDEX(projetos,E2,1)</f>
        <v>0</v>
      </c>
      <c r="C2" s="67">
        <v>2</v>
      </c>
      <c r="D2" s="13" t="s">
        <v>326</v>
      </c>
      <c r="E2" s="58">
        <v>11</v>
      </c>
      <c r="F2" s="58">
        <v>7</v>
      </c>
      <c r="G2" s="61">
        <f t="shared" ref="G2:G33" si="1">INDEX(projetos,E2,F2)</f>
        <v>0</v>
      </c>
      <c r="H2" s="13">
        <f t="shared" ref="H2:H33" si="2">INDEX(projetos,E2,3)</f>
        <v>0</v>
      </c>
      <c r="I2" s="13">
        <f t="shared" ref="I2:I33" si="3">INDEX(projetos,E2,4)</f>
        <v>0</v>
      </c>
      <c r="J2" s="59">
        <f t="shared" ref="J2:J33" si="4">INDEX(projetos,E2,F2+1)</f>
        <v>0</v>
      </c>
    </row>
    <row r="3" spans="2:10" hidden="1" x14ac:dyDescent="0.25">
      <c r="B3" s="58">
        <f t="shared" si="0"/>
        <v>0</v>
      </c>
      <c r="C3" s="67">
        <v>3</v>
      </c>
      <c r="D3" s="13" t="s">
        <v>327</v>
      </c>
      <c r="E3" s="58">
        <v>11</v>
      </c>
      <c r="F3" s="58">
        <v>9</v>
      </c>
      <c r="G3" s="61">
        <f t="shared" si="1"/>
        <v>0</v>
      </c>
      <c r="H3" s="13">
        <f t="shared" si="2"/>
        <v>0</v>
      </c>
      <c r="I3" s="13">
        <f t="shared" si="3"/>
        <v>0</v>
      </c>
      <c r="J3" s="59">
        <f t="shared" si="4"/>
        <v>0</v>
      </c>
    </row>
    <row r="4" spans="2:10" hidden="1" x14ac:dyDescent="0.25">
      <c r="B4" s="58">
        <f t="shared" si="0"/>
        <v>0</v>
      </c>
      <c r="C4" s="67">
        <v>4</v>
      </c>
      <c r="D4" s="13" t="s">
        <v>328</v>
      </c>
      <c r="E4" s="58">
        <v>11</v>
      </c>
      <c r="F4" s="58">
        <v>11</v>
      </c>
      <c r="G4" s="61">
        <f t="shared" si="1"/>
        <v>0</v>
      </c>
      <c r="H4" s="13">
        <f t="shared" si="2"/>
        <v>0</v>
      </c>
      <c r="I4" s="13">
        <f t="shared" si="3"/>
        <v>0</v>
      </c>
      <c r="J4" s="59">
        <f t="shared" si="4"/>
        <v>0</v>
      </c>
    </row>
    <row r="5" spans="2:10" hidden="1" x14ac:dyDescent="0.25">
      <c r="B5" s="58">
        <f t="shared" si="0"/>
        <v>0</v>
      </c>
      <c r="C5" s="67">
        <v>5</v>
      </c>
      <c r="D5" s="13" t="s">
        <v>329</v>
      </c>
      <c r="E5" s="58">
        <v>11</v>
      </c>
      <c r="F5" s="58">
        <v>13</v>
      </c>
      <c r="G5" s="61">
        <f t="shared" si="1"/>
        <v>0</v>
      </c>
      <c r="H5" s="13">
        <f t="shared" si="2"/>
        <v>0</v>
      </c>
      <c r="I5" s="13">
        <f t="shared" si="3"/>
        <v>0</v>
      </c>
      <c r="J5" s="59">
        <f t="shared" si="4"/>
        <v>0</v>
      </c>
    </row>
    <row r="6" spans="2:10" hidden="1" x14ac:dyDescent="0.25">
      <c r="B6" s="58">
        <f t="shared" si="0"/>
        <v>0</v>
      </c>
      <c r="C6" s="67">
        <v>6</v>
      </c>
      <c r="D6" s="13" t="s">
        <v>330</v>
      </c>
      <c r="E6" s="58">
        <v>11</v>
      </c>
      <c r="F6" s="58">
        <v>15</v>
      </c>
      <c r="G6" s="61">
        <f t="shared" si="1"/>
        <v>0</v>
      </c>
      <c r="H6" s="13">
        <f t="shared" si="2"/>
        <v>0</v>
      </c>
      <c r="I6" s="13">
        <f t="shared" si="3"/>
        <v>0</v>
      </c>
      <c r="J6" s="59">
        <f t="shared" si="4"/>
        <v>0</v>
      </c>
    </row>
    <row r="7" spans="2:10" hidden="1" x14ac:dyDescent="0.25">
      <c r="B7" s="58">
        <f t="shared" si="0"/>
        <v>0</v>
      </c>
      <c r="C7" s="67">
        <v>7</v>
      </c>
      <c r="D7" s="13" t="s">
        <v>331</v>
      </c>
      <c r="E7" s="58">
        <v>11</v>
      </c>
      <c r="F7" s="58">
        <v>17</v>
      </c>
      <c r="G7" s="61">
        <f t="shared" si="1"/>
        <v>0</v>
      </c>
      <c r="H7" s="13">
        <f t="shared" si="2"/>
        <v>0</v>
      </c>
      <c r="I7" s="13">
        <f t="shared" si="3"/>
        <v>0</v>
      </c>
      <c r="J7" s="59">
        <f t="shared" si="4"/>
        <v>0</v>
      </c>
    </row>
    <row r="8" spans="2:10" hidden="1" x14ac:dyDescent="0.25">
      <c r="B8" s="58">
        <f t="shared" si="0"/>
        <v>0</v>
      </c>
      <c r="C8" s="67">
        <v>2</v>
      </c>
      <c r="D8" s="13" t="s">
        <v>333</v>
      </c>
      <c r="E8" s="58">
        <v>12</v>
      </c>
      <c r="F8" s="58">
        <v>7</v>
      </c>
      <c r="G8" s="61">
        <f t="shared" si="1"/>
        <v>0</v>
      </c>
      <c r="H8" s="13">
        <f t="shared" si="2"/>
        <v>0</v>
      </c>
      <c r="I8" s="13">
        <f t="shared" si="3"/>
        <v>0</v>
      </c>
      <c r="J8" s="59">
        <f t="shared" si="4"/>
        <v>0</v>
      </c>
    </row>
    <row r="9" spans="2:10" hidden="1" x14ac:dyDescent="0.25">
      <c r="B9" s="58">
        <f t="shared" si="0"/>
        <v>0</v>
      </c>
      <c r="C9" s="67">
        <v>3</v>
      </c>
      <c r="D9" s="13" t="s">
        <v>334</v>
      </c>
      <c r="E9" s="58">
        <v>12</v>
      </c>
      <c r="F9" s="58">
        <v>9</v>
      </c>
      <c r="G9" s="61">
        <f t="shared" si="1"/>
        <v>0</v>
      </c>
      <c r="H9" s="13">
        <f t="shared" si="2"/>
        <v>0</v>
      </c>
      <c r="I9" s="13">
        <f t="shared" si="3"/>
        <v>0</v>
      </c>
      <c r="J9" s="59">
        <f t="shared" si="4"/>
        <v>0</v>
      </c>
    </row>
    <row r="10" spans="2:10" hidden="1" x14ac:dyDescent="0.25">
      <c r="B10" s="58">
        <f t="shared" si="0"/>
        <v>0</v>
      </c>
      <c r="C10" s="67">
        <v>4</v>
      </c>
      <c r="D10" s="13" t="s">
        <v>335</v>
      </c>
      <c r="E10" s="58">
        <v>12</v>
      </c>
      <c r="F10" s="58">
        <v>11</v>
      </c>
      <c r="G10" s="61">
        <f t="shared" si="1"/>
        <v>0</v>
      </c>
      <c r="H10" s="13">
        <f t="shared" si="2"/>
        <v>0</v>
      </c>
      <c r="I10" s="13">
        <f t="shared" si="3"/>
        <v>0</v>
      </c>
      <c r="J10" s="59">
        <f t="shared" si="4"/>
        <v>0</v>
      </c>
    </row>
    <row r="11" spans="2:10" hidden="1" x14ac:dyDescent="0.25">
      <c r="B11" s="58">
        <f t="shared" si="0"/>
        <v>0</v>
      </c>
      <c r="C11" s="67">
        <v>5</v>
      </c>
      <c r="D11" s="13" t="s">
        <v>336</v>
      </c>
      <c r="E11" s="58">
        <v>12</v>
      </c>
      <c r="F11" s="58">
        <v>13</v>
      </c>
      <c r="G11" s="61">
        <f t="shared" si="1"/>
        <v>0</v>
      </c>
      <c r="H11" s="13">
        <f t="shared" si="2"/>
        <v>0</v>
      </c>
      <c r="I11" s="13">
        <f t="shared" si="3"/>
        <v>0</v>
      </c>
      <c r="J11" s="59">
        <f t="shared" si="4"/>
        <v>0</v>
      </c>
    </row>
    <row r="12" spans="2:10" hidden="1" x14ac:dyDescent="0.25">
      <c r="B12" s="58">
        <f t="shared" si="0"/>
        <v>0</v>
      </c>
      <c r="C12" s="67">
        <v>6</v>
      </c>
      <c r="D12" s="13" t="s">
        <v>337</v>
      </c>
      <c r="E12" s="58">
        <v>12</v>
      </c>
      <c r="F12" s="58">
        <v>15</v>
      </c>
      <c r="G12" s="61">
        <f t="shared" si="1"/>
        <v>0</v>
      </c>
      <c r="H12" s="13">
        <f t="shared" si="2"/>
        <v>0</v>
      </c>
      <c r="I12" s="13">
        <f t="shared" si="3"/>
        <v>0</v>
      </c>
      <c r="J12" s="59">
        <f t="shared" si="4"/>
        <v>0</v>
      </c>
    </row>
    <row r="13" spans="2:10" hidden="1" x14ac:dyDescent="0.25">
      <c r="B13" s="58">
        <f t="shared" si="0"/>
        <v>0</v>
      </c>
      <c r="C13" s="67">
        <v>7</v>
      </c>
      <c r="D13" s="13" t="s">
        <v>338</v>
      </c>
      <c r="E13" s="58">
        <v>12</v>
      </c>
      <c r="F13" s="58">
        <v>17</v>
      </c>
      <c r="G13" s="61">
        <f t="shared" si="1"/>
        <v>0</v>
      </c>
      <c r="H13" s="13">
        <f t="shared" si="2"/>
        <v>0</v>
      </c>
      <c r="I13" s="13">
        <f t="shared" si="3"/>
        <v>0</v>
      </c>
      <c r="J13" s="59">
        <f t="shared" si="4"/>
        <v>0</v>
      </c>
    </row>
    <row r="14" spans="2:10" hidden="1" x14ac:dyDescent="0.25">
      <c r="B14" s="58">
        <f t="shared" si="0"/>
        <v>0</v>
      </c>
      <c r="C14" s="67">
        <v>5</v>
      </c>
      <c r="D14" s="13" t="s">
        <v>343</v>
      </c>
      <c r="E14" s="58">
        <v>13</v>
      </c>
      <c r="F14" s="58">
        <v>13</v>
      </c>
      <c r="G14" s="61">
        <f t="shared" si="1"/>
        <v>0</v>
      </c>
      <c r="H14" s="13">
        <f t="shared" si="2"/>
        <v>43647</v>
      </c>
      <c r="I14" s="13">
        <f t="shared" si="3"/>
        <v>43677</v>
      </c>
      <c r="J14" s="59">
        <f t="shared" si="4"/>
        <v>0</v>
      </c>
    </row>
    <row r="15" spans="2:10" hidden="1" x14ac:dyDescent="0.25">
      <c r="B15" s="58">
        <f t="shared" si="0"/>
        <v>0</v>
      </c>
      <c r="C15" s="67">
        <v>6</v>
      </c>
      <c r="D15" s="13" t="s">
        <v>344</v>
      </c>
      <c r="E15" s="58">
        <v>13</v>
      </c>
      <c r="F15" s="58">
        <v>15</v>
      </c>
      <c r="G15" s="61">
        <f t="shared" si="1"/>
        <v>0</v>
      </c>
      <c r="H15" s="13">
        <f t="shared" si="2"/>
        <v>43647</v>
      </c>
      <c r="I15" s="13">
        <f t="shared" si="3"/>
        <v>43677</v>
      </c>
      <c r="J15" s="59">
        <f t="shared" si="4"/>
        <v>0</v>
      </c>
    </row>
    <row r="16" spans="2:10" hidden="1" x14ac:dyDescent="0.25">
      <c r="B16" s="58">
        <f t="shared" si="0"/>
        <v>0</v>
      </c>
      <c r="C16" s="67">
        <v>7</v>
      </c>
      <c r="D16" s="13" t="s">
        <v>345</v>
      </c>
      <c r="E16" s="58">
        <v>13</v>
      </c>
      <c r="F16" s="58">
        <v>17</v>
      </c>
      <c r="G16" s="61">
        <f t="shared" si="1"/>
        <v>0</v>
      </c>
      <c r="H16" s="13">
        <f t="shared" si="2"/>
        <v>43647</v>
      </c>
      <c r="I16" s="13">
        <f t="shared" si="3"/>
        <v>43677</v>
      </c>
      <c r="J16" s="59">
        <f t="shared" si="4"/>
        <v>0</v>
      </c>
    </row>
    <row r="17" spans="2:10" hidden="1" x14ac:dyDescent="0.25">
      <c r="B17" s="58">
        <f t="shared" si="0"/>
        <v>0</v>
      </c>
      <c r="C17" s="67">
        <v>2</v>
      </c>
      <c r="D17" s="13" t="s">
        <v>340</v>
      </c>
      <c r="E17" s="58">
        <v>13</v>
      </c>
      <c r="F17" s="58">
        <v>7</v>
      </c>
      <c r="G17" s="61">
        <f t="shared" si="1"/>
        <v>0</v>
      </c>
      <c r="H17" s="13">
        <f t="shared" si="2"/>
        <v>43647</v>
      </c>
      <c r="I17" s="13">
        <f t="shared" si="3"/>
        <v>43677</v>
      </c>
      <c r="J17" s="69">
        <f t="shared" si="4"/>
        <v>0</v>
      </c>
    </row>
    <row r="18" spans="2:10" hidden="1" x14ac:dyDescent="0.25">
      <c r="B18" s="58">
        <f t="shared" si="0"/>
        <v>0</v>
      </c>
      <c r="C18" s="67">
        <v>4</v>
      </c>
      <c r="D18" s="13" t="s">
        <v>342</v>
      </c>
      <c r="E18" s="58">
        <v>13</v>
      </c>
      <c r="F18" s="58">
        <v>11</v>
      </c>
      <c r="G18" s="61">
        <f t="shared" si="1"/>
        <v>0</v>
      </c>
      <c r="H18" s="13">
        <f t="shared" si="2"/>
        <v>43647</v>
      </c>
      <c r="I18" s="13">
        <f t="shared" si="3"/>
        <v>43677</v>
      </c>
      <c r="J18" s="69">
        <f t="shared" si="4"/>
        <v>0</v>
      </c>
    </row>
    <row r="19" spans="2:10" hidden="1" x14ac:dyDescent="0.25">
      <c r="B19" s="58">
        <f t="shared" si="0"/>
        <v>0</v>
      </c>
      <c r="C19" s="67">
        <v>3</v>
      </c>
      <c r="D19" s="13" t="s">
        <v>341</v>
      </c>
      <c r="E19" s="58">
        <v>13</v>
      </c>
      <c r="F19" s="58">
        <v>9</v>
      </c>
      <c r="G19" s="61">
        <f t="shared" si="1"/>
        <v>0</v>
      </c>
      <c r="H19" s="13">
        <f t="shared" si="2"/>
        <v>43647</v>
      </c>
      <c r="I19" s="13">
        <f t="shared" si="3"/>
        <v>43677</v>
      </c>
      <c r="J19" s="69">
        <f t="shared" si="4"/>
        <v>0</v>
      </c>
    </row>
    <row r="20" spans="2:10" hidden="1" x14ac:dyDescent="0.25">
      <c r="B20" s="58">
        <f t="shared" si="0"/>
        <v>0</v>
      </c>
      <c r="C20" s="67">
        <v>1</v>
      </c>
      <c r="D20" s="13" t="s">
        <v>325</v>
      </c>
      <c r="E20" s="58">
        <v>11</v>
      </c>
      <c r="F20" s="58">
        <v>5</v>
      </c>
      <c r="G20" s="61" t="str">
        <f t="shared" si="1"/>
        <v>Fulano da Silva</v>
      </c>
      <c r="H20" s="13">
        <f t="shared" si="2"/>
        <v>0</v>
      </c>
      <c r="I20" s="13">
        <f t="shared" si="3"/>
        <v>0</v>
      </c>
      <c r="J20" s="69">
        <f t="shared" si="4"/>
        <v>12345</v>
      </c>
    </row>
    <row r="21" spans="2:10" hidden="1" x14ac:dyDescent="0.25">
      <c r="B21" s="58">
        <f t="shared" si="0"/>
        <v>0</v>
      </c>
      <c r="C21" s="67">
        <v>1</v>
      </c>
      <c r="D21" s="13" t="s">
        <v>332</v>
      </c>
      <c r="E21" s="58">
        <v>12</v>
      </c>
      <c r="F21" s="58">
        <v>5</v>
      </c>
      <c r="G21" s="61" t="str">
        <f t="shared" si="1"/>
        <v>Fulano da Silva</v>
      </c>
      <c r="H21" s="13">
        <f t="shared" si="2"/>
        <v>0</v>
      </c>
      <c r="I21" s="13">
        <f t="shared" si="3"/>
        <v>0</v>
      </c>
      <c r="J21" s="69">
        <f t="shared" si="4"/>
        <v>12345</v>
      </c>
    </row>
    <row r="22" spans="2:10" hidden="1" x14ac:dyDescent="0.25">
      <c r="B22" s="58">
        <f t="shared" si="0"/>
        <v>0</v>
      </c>
      <c r="C22" s="67">
        <v>1</v>
      </c>
      <c r="D22" s="13" t="s">
        <v>339</v>
      </c>
      <c r="E22" s="58">
        <v>13</v>
      </c>
      <c r="F22" s="58">
        <v>5</v>
      </c>
      <c r="G22" s="61" t="str">
        <f t="shared" si="1"/>
        <v>Fulano da Silva</v>
      </c>
      <c r="H22" s="13">
        <f t="shared" si="2"/>
        <v>43647</v>
      </c>
      <c r="I22" s="13">
        <f t="shared" si="3"/>
        <v>43677</v>
      </c>
      <c r="J22" s="69">
        <f t="shared" si="4"/>
        <v>12345</v>
      </c>
    </row>
    <row r="23" spans="2:10" hidden="1" x14ac:dyDescent="0.25">
      <c r="B23" s="58" t="str">
        <f t="shared" si="0"/>
        <v>#102070</v>
      </c>
      <c r="C23" s="67">
        <v>2</v>
      </c>
      <c r="D23" s="13" t="s">
        <v>256</v>
      </c>
      <c r="E23" s="58">
        <v>1</v>
      </c>
      <c r="F23" s="58">
        <v>7</v>
      </c>
      <c r="G23" s="61">
        <f t="shared" si="1"/>
        <v>0</v>
      </c>
      <c r="H23" s="13">
        <f t="shared" si="2"/>
        <v>43466</v>
      </c>
      <c r="I23" s="13">
        <f t="shared" si="3"/>
        <v>43708</v>
      </c>
      <c r="J23" s="59">
        <f t="shared" si="4"/>
        <v>32156</v>
      </c>
    </row>
    <row r="24" spans="2:10" x14ac:dyDescent="0.25">
      <c r="B24" s="58" t="str">
        <f t="shared" si="0"/>
        <v>#102070</v>
      </c>
      <c r="C24" s="67">
        <v>6</v>
      </c>
      <c r="D24" s="13" t="s">
        <v>260</v>
      </c>
      <c r="E24" s="58">
        <v>1</v>
      </c>
      <c r="F24" s="58">
        <v>15</v>
      </c>
      <c r="G24" s="61" t="str">
        <f t="shared" si="1"/>
        <v>bola</v>
      </c>
      <c r="H24" s="13">
        <f t="shared" si="2"/>
        <v>43466</v>
      </c>
      <c r="I24" s="13">
        <f t="shared" si="3"/>
        <v>43708</v>
      </c>
      <c r="J24" s="69">
        <f t="shared" si="4"/>
        <v>34454</v>
      </c>
    </row>
    <row r="25" spans="2:10" x14ac:dyDescent="0.25">
      <c r="B25" s="58" t="str">
        <f t="shared" si="0"/>
        <v>#102070</v>
      </c>
      <c r="C25" s="67">
        <v>5</v>
      </c>
      <c r="D25" s="13" t="s">
        <v>259</v>
      </c>
      <c r="E25" s="58">
        <v>1</v>
      </c>
      <c r="F25" s="58">
        <v>13</v>
      </c>
      <c r="G25" s="61" t="str">
        <f t="shared" si="1"/>
        <v>carro</v>
      </c>
      <c r="H25" s="13">
        <f t="shared" si="2"/>
        <v>43466</v>
      </c>
      <c r="I25" s="13">
        <f t="shared" si="3"/>
        <v>43708</v>
      </c>
      <c r="J25" s="69">
        <f t="shared" si="4"/>
        <v>34533</v>
      </c>
    </row>
    <row r="26" spans="2:10" x14ac:dyDescent="0.25">
      <c r="B26" s="58" t="str">
        <f t="shared" si="0"/>
        <v>#102070</v>
      </c>
      <c r="C26" s="67">
        <v>3</v>
      </c>
      <c r="D26" s="13" t="s">
        <v>257</v>
      </c>
      <c r="E26" s="58">
        <v>1</v>
      </c>
      <c r="F26" s="58">
        <v>9</v>
      </c>
      <c r="G26" s="61" t="str">
        <f t="shared" si="1"/>
        <v>ciclano</v>
      </c>
      <c r="H26" s="13">
        <f t="shared" si="2"/>
        <v>43466</v>
      </c>
      <c r="I26" s="13">
        <f t="shared" si="3"/>
        <v>43708</v>
      </c>
      <c r="J26" s="69">
        <f t="shared" si="4"/>
        <v>23456</v>
      </c>
    </row>
    <row r="27" spans="2:10" x14ac:dyDescent="0.25">
      <c r="B27" s="58" t="str">
        <f t="shared" si="0"/>
        <v>#102070</v>
      </c>
      <c r="C27" s="67">
        <v>1</v>
      </c>
      <c r="D27" s="13" t="s">
        <v>255</v>
      </c>
      <c r="E27" s="58">
        <v>1</v>
      </c>
      <c r="F27" s="58">
        <v>5</v>
      </c>
      <c r="G27" s="61" t="str">
        <f t="shared" si="1"/>
        <v>Fulano da Silva</v>
      </c>
      <c r="H27" s="13">
        <f t="shared" si="2"/>
        <v>43466</v>
      </c>
      <c r="I27" s="13">
        <f t="shared" si="3"/>
        <v>43708</v>
      </c>
      <c r="J27" s="69">
        <f t="shared" si="4"/>
        <v>12345</v>
      </c>
    </row>
    <row r="28" spans="2:10" x14ac:dyDescent="0.25">
      <c r="B28" s="58" t="str">
        <f t="shared" si="0"/>
        <v>#102070</v>
      </c>
      <c r="C28" s="67">
        <v>7</v>
      </c>
      <c r="D28" s="13" t="s">
        <v>261</v>
      </c>
      <c r="E28" s="58">
        <v>1</v>
      </c>
      <c r="F28" s="58">
        <v>17</v>
      </c>
      <c r="G28" s="61" t="str">
        <f t="shared" si="1"/>
        <v>mané</v>
      </c>
      <c r="H28" s="13">
        <f t="shared" si="2"/>
        <v>43466</v>
      </c>
      <c r="I28" s="13">
        <f t="shared" si="3"/>
        <v>43708</v>
      </c>
      <c r="J28" s="69">
        <f t="shared" si="4"/>
        <v>34534</v>
      </c>
    </row>
    <row r="29" spans="2:10" x14ac:dyDescent="0.25">
      <c r="B29" s="58" t="str">
        <f t="shared" si="0"/>
        <v>#102070</v>
      </c>
      <c r="C29" s="67">
        <v>4</v>
      </c>
      <c r="D29" s="13" t="s">
        <v>258</v>
      </c>
      <c r="E29" s="58">
        <v>1</v>
      </c>
      <c r="F29" s="58">
        <v>11</v>
      </c>
      <c r="G29" s="61" t="str">
        <f t="shared" si="1"/>
        <v>zé</v>
      </c>
      <c r="H29" s="13">
        <f t="shared" si="2"/>
        <v>43466</v>
      </c>
      <c r="I29" s="13">
        <f t="shared" si="3"/>
        <v>43708</v>
      </c>
      <c r="J29" s="69">
        <f t="shared" si="4"/>
        <v>76556</v>
      </c>
    </row>
    <row r="30" spans="2:10" hidden="1" x14ac:dyDescent="0.25">
      <c r="B30" s="58" t="str">
        <f t="shared" si="0"/>
        <v>&lt;Nome curto / apelido / código do projeto &gt;</v>
      </c>
      <c r="C30" s="67">
        <v>2</v>
      </c>
      <c r="D30" s="13" t="s">
        <v>277</v>
      </c>
      <c r="E30" s="58">
        <v>4</v>
      </c>
      <c r="F30" s="58">
        <v>7</v>
      </c>
      <c r="G30" s="61">
        <f t="shared" si="1"/>
        <v>0</v>
      </c>
      <c r="H30" s="13">
        <f t="shared" si="2"/>
        <v>0</v>
      </c>
      <c r="I30" s="13">
        <f t="shared" si="3"/>
        <v>0</v>
      </c>
      <c r="J30" s="59">
        <f t="shared" si="4"/>
        <v>0</v>
      </c>
    </row>
    <row r="31" spans="2:10" hidden="1" x14ac:dyDescent="0.25">
      <c r="B31" s="58" t="str">
        <f t="shared" si="0"/>
        <v>&lt;Nome curto / apelido / código do projeto &gt;</v>
      </c>
      <c r="C31" s="67">
        <v>3</v>
      </c>
      <c r="D31" s="13" t="s">
        <v>278</v>
      </c>
      <c r="E31" s="58">
        <v>4</v>
      </c>
      <c r="F31" s="58">
        <v>9</v>
      </c>
      <c r="G31" s="61">
        <f t="shared" si="1"/>
        <v>0</v>
      </c>
      <c r="H31" s="13">
        <f t="shared" si="2"/>
        <v>0</v>
      </c>
      <c r="I31" s="13">
        <f t="shared" si="3"/>
        <v>0</v>
      </c>
      <c r="J31" s="59">
        <f t="shared" si="4"/>
        <v>0</v>
      </c>
    </row>
    <row r="32" spans="2:10" hidden="1" x14ac:dyDescent="0.25">
      <c r="B32" s="58" t="str">
        <f t="shared" si="0"/>
        <v>&lt;Nome curto / apelido / código do projeto &gt;</v>
      </c>
      <c r="C32" s="67">
        <v>4</v>
      </c>
      <c r="D32" s="13" t="s">
        <v>279</v>
      </c>
      <c r="E32" s="58">
        <v>4</v>
      </c>
      <c r="F32" s="58">
        <v>11</v>
      </c>
      <c r="G32" s="61">
        <f t="shared" si="1"/>
        <v>0</v>
      </c>
      <c r="H32" s="13">
        <f t="shared" si="2"/>
        <v>0</v>
      </c>
      <c r="I32" s="13">
        <f t="shared" si="3"/>
        <v>0</v>
      </c>
      <c r="J32" s="59">
        <f t="shared" si="4"/>
        <v>0</v>
      </c>
    </row>
    <row r="33" spans="2:10" hidden="1" x14ac:dyDescent="0.25">
      <c r="B33" s="58" t="str">
        <f t="shared" si="0"/>
        <v>&lt;Nome curto / apelido / código do projeto &gt;</v>
      </c>
      <c r="C33" s="67">
        <v>5</v>
      </c>
      <c r="D33" s="13" t="s">
        <v>280</v>
      </c>
      <c r="E33" s="58">
        <v>4</v>
      </c>
      <c r="F33" s="58">
        <v>13</v>
      </c>
      <c r="G33" s="61">
        <f t="shared" si="1"/>
        <v>0</v>
      </c>
      <c r="H33" s="13">
        <f t="shared" si="2"/>
        <v>0</v>
      </c>
      <c r="I33" s="13">
        <f t="shared" si="3"/>
        <v>0</v>
      </c>
      <c r="J33" s="59">
        <f t="shared" si="4"/>
        <v>0</v>
      </c>
    </row>
    <row r="34" spans="2:10" hidden="1" x14ac:dyDescent="0.25">
      <c r="B34" s="58" t="str">
        <f t="shared" ref="B34:B65" si="5">INDEX(projetos,E34,1)</f>
        <v>&lt;Nome curto / apelido / código do projeto &gt;</v>
      </c>
      <c r="C34" s="67">
        <v>6</v>
      </c>
      <c r="D34" s="13" t="s">
        <v>281</v>
      </c>
      <c r="E34" s="58">
        <v>4</v>
      </c>
      <c r="F34" s="58">
        <v>15</v>
      </c>
      <c r="G34" s="61">
        <f t="shared" ref="G34:G65" si="6">INDEX(projetos,E34,F34)</f>
        <v>0</v>
      </c>
      <c r="H34" s="13">
        <f t="shared" ref="H34:H65" si="7">INDEX(projetos,E34,3)</f>
        <v>0</v>
      </c>
      <c r="I34" s="13">
        <f t="shared" ref="I34:I65" si="8">INDEX(projetos,E34,4)</f>
        <v>0</v>
      </c>
      <c r="J34" s="59">
        <f t="shared" ref="J34:J65" si="9">INDEX(projetos,E34,F34+1)</f>
        <v>0</v>
      </c>
    </row>
    <row r="35" spans="2:10" hidden="1" x14ac:dyDescent="0.25">
      <c r="B35" s="58" t="str">
        <f t="shared" si="5"/>
        <v>&lt;Nome curto / apelido / código do projeto &gt;</v>
      </c>
      <c r="C35" s="67">
        <v>7</v>
      </c>
      <c r="D35" s="13" t="s">
        <v>282</v>
      </c>
      <c r="E35" s="58">
        <v>4</v>
      </c>
      <c r="F35" s="58">
        <v>17</v>
      </c>
      <c r="G35" s="61">
        <f t="shared" si="6"/>
        <v>0</v>
      </c>
      <c r="H35" s="13">
        <f t="shared" si="7"/>
        <v>0</v>
      </c>
      <c r="I35" s="13">
        <f t="shared" si="8"/>
        <v>0</v>
      </c>
      <c r="J35" s="59">
        <f t="shared" si="9"/>
        <v>0</v>
      </c>
    </row>
    <row r="36" spans="2:10" hidden="1" x14ac:dyDescent="0.25">
      <c r="B36" s="58" t="str">
        <f t="shared" si="5"/>
        <v>&lt;Nome curto / apelido / código do projeto &gt;</v>
      </c>
      <c r="C36" s="67">
        <v>2</v>
      </c>
      <c r="D36" s="13" t="s">
        <v>284</v>
      </c>
      <c r="E36" s="58">
        <v>5</v>
      </c>
      <c r="F36" s="58">
        <v>7</v>
      </c>
      <c r="G36" s="61">
        <f t="shared" si="6"/>
        <v>0</v>
      </c>
      <c r="H36" s="13">
        <f t="shared" si="7"/>
        <v>0</v>
      </c>
      <c r="I36" s="13">
        <f t="shared" si="8"/>
        <v>0</v>
      </c>
      <c r="J36" s="59">
        <f t="shared" si="9"/>
        <v>0</v>
      </c>
    </row>
    <row r="37" spans="2:10" hidden="1" x14ac:dyDescent="0.25">
      <c r="B37" s="58" t="str">
        <f t="shared" si="5"/>
        <v>&lt;Nome curto / apelido / código do projeto &gt;</v>
      </c>
      <c r="C37" s="67">
        <v>3</v>
      </c>
      <c r="D37" s="13" t="s">
        <v>285</v>
      </c>
      <c r="E37" s="58">
        <v>5</v>
      </c>
      <c r="F37" s="58">
        <v>9</v>
      </c>
      <c r="G37" s="61">
        <f t="shared" si="6"/>
        <v>0</v>
      </c>
      <c r="H37" s="13">
        <f t="shared" si="7"/>
        <v>0</v>
      </c>
      <c r="I37" s="13">
        <f t="shared" si="8"/>
        <v>0</v>
      </c>
      <c r="J37" s="59">
        <f t="shared" si="9"/>
        <v>0</v>
      </c>
    </row>
    <row r="38" spans="2:10" hidden="1" x14ac:dyDescent="0.25">
      <c r="B38" s="58" t="str">
        <f t="shared" si="5"/>
        <v>&lt;Nome curto / apelido / código do projeto &gt;</v>
      </c>
      <c r="C38" s="67">
        <v>4</v>
      </c>
      <c r="D38" s="13" t="s">
        <v>286</v>
      </c>
      <c r="E38" s="58">
        <v>5</v>
      </c>
      <c r="F38" s="58">
        <v>11</v>
      </c>
      <c r="G38" s="61">
        <f t="shared" si="6"/>
        <v>0</v>
      </c>
      <c r="H38" s="13">
        <f t="shared" si="7"/>
        <v>0</v>
      </c>
      <c r="I38" s="13">
        <f t="shared" si="8"/>
        <v>0</v>
      </c>
      <c r="J38" s="59">
        <f t="shared" si="9"/>
        <v>0</v>
      </c>
    </row>
    <row r="39" spans="2:10" hidden="1" x14ac:dyDescent="0.25">
      <c r="B39" s="58" t="str">
        <f t="shared" si="5"/>
        <v>&lt;Nome curto / apelido / código do projeto &gt;</v>
      </c>
      <c r="C39" s="67">
        <v>5</v>
      </c>
      <c r="D39" s="13" t="s">
        <v>287</v>
      </c>
      <c r="E39" s="58">
        <v>5</v>
      </c>
      <c r="F39" s="58">
        <v>13</v>
      </c>
      <c r="G39" s="61">
        <f t="shared" si="6"/>
        <v>0</v>
      </c>
      <c r="H39" s="13">
        <f t="shared" si="7"/>
        <v>0</v>
      </c>
      <c r="I39" s="13">
        <f t="shared" si="8"/>
        <v>0</v>
      </c>
      <c r="J39" s="59">
        <f t="shared" si="9"/>
        <v>0</v>
      </c>
    </row>
    <row r="40" spans="2:10" hidden="1" x14ac:dyDescent="0.25">
      <c r="B40" s="58" t="str">
        <f t="shared" si="5"/>
        <v>&lt;Nome curto / apelido / código do projeto &gt;</v>
      </c>
      <c r="C40" s="67">
        <v>6</v>
      </c>
      <c r="D40" s="13" t="s">
        <v>288</v>
      </c>
      <c r="E40" s="58">
        <v>5</v>
      </c>
      <c r="F40" s="58">
        <v>15</v>
      </c>
      <c r="G40" s="61">
        <f t="shared" si="6"/>
        <v>0</v>
      </c>
      <c r="H40" s="13">
        <f t="shared" si="7"/>
        <v>0</v>
      </c>
      <c r="I40" s="13">
        <f t="shared" si="8"/>
        <v>0</v>
      </c>
      <c r="J40" s="59">
        <f t="shared" si="9"/>
        <v>0</v>
      </c>
    </row>
    <row r="41" spans="2:10" hidden="1" x14ac:dyDescent="0.25">
      <c r="B41" s="58" t="str">
        <f t="shared" si="5"/>
        <v>&lt;Nome curto / apelido / código do projeto &gt;</v>
      </c>
      <c r="C41" s="67">
        <v>7</v>
      </c>
      <c r="D41" s="13" t="s">
        <v>289</v>
      </c>
      <c r="E41" s="58">
        <v>5</v>
      </c>
      <c r="F41" s="58">
        <v>17</v>
      </c>
      <c r="G41" s="61">
        <f t="shared" si="6"/>
        <v>0</v>
      </c>
      <c r="H41" s="13">
        <f t="shared" si="7"/>
        <v>0</v>
      </c>
      <c r="I41" s="13">
        <f t="shared" si="8"/>
        <v>0</v>
      </c>
      <c r="J41" s="59">
        <f t="shared" si="9"/>
        <v>0</v>
      </c>
    </row>
    <row r="42" spans="2:10" hidden="1" x14ac:dyDescent="0.25">
      <c r="B42" s="58" t="str">
        <f t="shared" si="5"/>
        <v>&lt;Nome curto / apelido / código do projeto &gt;</v>
      </c>
      <c r="C42" s="67">
        <v>2</v>
      </c>
      <c r="D42" s="13" t="s">
        <v>291</v>
      </c>
      <c r="E42" s="58">
        <v>6</v>
      </c>
      <c r="F42" s="58">
        <v>7</v>
      </c>
      <c r="G42" s="61">
        <f t="shared" si="6"/>
        <v>0</v>
      </c>
      <c r="H42" s="13">
        <f t="shared" si="7"/>
        <v>0</v>
      </c>
      <c r="I42" s="13">
        <f t="shared" si="8"/>
        <v>0</v>
      </c>
      <c r="J42" s="59">
        <f t="shared" si="9"/>
        <v>0</v>
      </c>
    </row>
    <row r="43" spans="2:10" hidden="1" x14ac:dyDescent="0.25">
      <c r="B43" s="58" t="str">
        <f t="shared" si="5"/>
        <v>&lt;Nome curto / apelido / código do projeto &gt;</v>
      </c>
      <c r="C43" s="67">
        <v>3</v>
      </c>
      <c r="D43" s="13" t="s">
        <v>292</v>
      </c>
      <c r="E43" s="58">
        <v>6</v>
      </c>
      <c r="F43" s="58">
        <v>9</v>
      </c>
      <c r="G43" s="61">
        <f t="shared" si="6"/>
        <v>0</v>
      </c>
      <c r="H43" s="13">
        <f t="shared" si="7"/>
        <v>0</v>
      </c>
      <c r="I43" s="13">
        <f t="shared" si="8"/>
        <v>0</v>
      </c>
      <c r="J43" s="59">
        <f t="shared" si="9"/>
        <v>0</v>
      </c>
    </row>
    <row r="44" spans="2:10" hidden="1" x14ac:dyDescent="0.25">
      <c r="B44" s="58" t="str">
        <f t="shared" si="5"/>
        <v>&lt;Nome curto / apelido / código do projeto &gt;</v>
      </c>
      <c r="C44" s="67">
        <v>4</v>
      </c>
      <c r="D44" s="13" t="s">
        <v>293</v>
      </c>
      <c r="E44" s="58">
        <v>6</v>
      </c>
      <c r="F44" s="58">
        <v>11</v>
      </c>
      <c r="G44" s="61">
        <f t="shared" si="6"/>
        <v>0</v>
      </c>
      <c r="H44" s="13">
        <f t="shared" si="7"/>
        <v>0</v>
      </c>
      <c r="I44" s="13">
        <f t="shared" si="8"/>
        <v>0</v>
      </c>
      <c r="J44" s="59">
        <f t="shared" si="9"/>
        <v>0</v>
      </c>
    </row>
    <row r="45" spans="2:10" hidden="1" x14ac:dyDescent="0.25">
      <c r="B45" s="58" t="str">
        <f t="shared" si="5"/>
        <v>&lt;Nome curto / apelido / código do projeto &gt;</v>
      </c>
      <c r="C45" s="67">
        <v>5</v>
      </c>
      <c r="D45" s="13" t="s">
        <v>294</v>
      </c>
      <c r="E45" s="58">
        <v>6</v>
      </c>
      <c r="F45" s="58">
        <v>13</v>
      </c>
      <c r="G45" s="61">
        <f t="shared" si="6"/>
        <v>0</v>
      </c>
      <c r="H45" s="13">
        <f t="shared" si="7"/>
        <v>0</v>
      </c>
      <c r="I45" s="13">
        <f t="shared" si="8"/>
        <v>0</v>
      </c>
      <c r="J45" s="59">
        <f t="shared" si="9"/>
        <v>0</v>
      </c>
    </row>
    <row r="46" spans="2:10" hidden="1" x14ac:dyDescent="0.25">
      <c r="B46" s="58" t="str">
        <f t="shared" si="5"/>
        <v>&lt;Nome curto / apelido / código do projeto &gt;</v>
      </c>
      <c r="C46" s="67">
        <v>6</v>
      </c>
      <c r="D46" s="13" t="s">
        <v>295</v>
      </c>
      <c r="E46" s="58">
        <v>6</v>
      </c>
      <c r="F46" s="58">
        <v>15</v>
      </c>
      <c r="G46" s="61">
        <f t="shared" si="6"/>
        <v>0</v>
      </c>
      <c r="H46" s="13">
        <f t="shared" si="7"/>
        <v>0</v>
      </c>
      <c r="I46" s="13">
        <f t="shared" si="8"/>
        <v>0</v>
      </c>
      <c r="J46" s="59">
        <f t="shared" si="9"/>
        <v>0</v>
      </c>
    </row>
    <row r="47" spans="2:10" hidden="1" x14ac:dyDescent="0.25">
      <c r="B47" s="58" t="str">
        <f t="shared" si="5"/>
        <v>&lt;Nome curto / apelido / código do projeto &gt;</v>
      </c>
      <c r="C47" s="67">
        <v>7</v>
      </c>
      <c r="D47" s="13" t="s">
        <v>296</v>
      </c>
      <c r="E47" s="58">
        <v>6</v>
      </c>
      <c r="F47" s="58">
        <v>17</v>
      </c>
      <c r="G47" s="61">
        <f t="shared" si="6"/>
        <v>0</v>
      </c>
      <c r="H47" s="13">
        <f t="shared" si="7"/>
        <v>0</v>
      </c>
      <c r="I47" s="13">
        <f t="shared" si="8"/>
        <v>0</v>
      </c>
      <c r="J47" s="59">
        <f t="shared" si="9"/>
        <v>0</v>
      </c>
    </row>
    <row r="48" spans="2:10" hidden="1" x14ac:dyDescent="0.25">
      <c r="B48" s="58" t="str">
        <f t="shared" si="5"/>
        <v>&lt;Nome curto / apelido / código do projeto &gt;</v>
      </c>
      <c r="C48" s="67">
        <v>2</v>
      </c>
      <c r="D48" s="13" t="s">
        <v>298</v>
      </c>
      <c r="E48" s="58">
        <v>7</v>
      </c>
      <c r="F48" s="58">
        <v>7</v>
      </c>
      <c r="G48" s="61">
        <f t="shared" si="6"/>
        <v>0</v>
      </c>
      <c r="H48" s="13">
        <f t="shared" si="7"/>
        <v>0</v>
      </c>
      <c r="I48" s="13">
        <f t="shared" si="8"/>
        <v>0</v>
      </c>
      <c r="J48" s="59">
        <f t="shared" si="9"/>
        <v>0</v>
      </c>
    </row>
    <row r="49" spans="2:10" hidden="1" x14ac:dyDescent="0.25">
      <c r="B49" s="58" t="str">
        <f t="shared" si="5"/>
        <v>&lt;Nome curto / apelido / código do projeto &gt;</v>
      </c>
      <c r="C49" s="67">
        <v>3</v>
      </c>
      <c r="D49" s="13" t="s">
        <v>299</v>
      </c>
      <c r="E49" s="58">
        <v>7</v>
      </c>
      <c r="F49" s="58">
        <v>9</v>
      </c>
      <c r="G49" s="61">
        <f t="shared" si="6"/>
        <v>0</v>
      </c>
      <c r="H49" s="13">
        <f t="shared" si="7"/>
        <v>0</v>
      </c>
      <c r="I49" s="13">
        <f t="shared" si="8"/>
        <v>0</v>
      </c>
      <c r="J49" s="59">
        <f t="shared" si="9"/>
        <v>0</v>
      </c>
    </row>
    <row r="50" spans="2:10" hidden="1" x14ac:dyDescent="0.25">
      <c r="B50" s="58" t="str">
        <f t="shared" si="5"/>
        <v>&lt;Nome curto / apelido / código do projeto &gt;</v>
      </c>
      <c r="C50" s="67">
        <v>4</v>
      </c>
      <c r="D50" s="13" t="s">
        <v>300</v>
      </c>
      <c r="E50" s="58">
        <v>7</v>
      </c>
      <c r="F50" s="58">
        <v>11</v>
      </c>
      <c r="G50" s="61">
        <f t="shared" si="6"/>
        <v>0</v>
      </c>
      <c r="H50" s="13">
        <f t="shared" si="7"/>
        <v>0</v>
      </c>
      <c r="I50" s="13">
        <f t="shared" si="8"/>
        <v>0</v>
      </c>
      <c r="J50" s="59">
        <f t="shared" si="9"/>
        <v>0</v>
      </c>
    </row>
    <row r="51" spans="2:10" hidden="1" x14ac:dyDescent="0.25">
      <c r="B51" s="58" t="str">
        <f t="shared" si="5"/>
        <v>&lt;Nome curto / apelido / código do projeto &gt;</v>
      </c>
      <c r="C51" s="67">
        <v>5</v>
      </c>
      <c r="D51" s="13" t="s">
        <v>301</v>
      </c>
      <c r="E51" s="58">
        <v>7</v>
      </c>
      <c r="F51" s="58">
        <v>13</v>
      </c>
      <c r="G51" s="61">
        <f t="shared" si="6"/>
        <v>0</v>
      </c>
      <c r="H51" s="13">
        <f t="shared" si="7"/>
        <v>0</v>
      </c>
      <c r="I51" s="13">
        <f t="shared" si="8"/>
        <v>0</v>
      </c>
      <c r="J51" s="59">
        <f t="shared" si="9"/>
        <v>0</v>
      </c>
    </row>
    <row r="52" spans="2:10" hidden="1" x14ac:dyDescent="0.25">
      <c r="B52" s="58" t="str">
        <f t="shared" si="5"/>
        <v>&lt;Nome curto / apelido / código do projeto &gt;</v>
      </c>
      <c r="C52" s="67">
        <v>6</v>
      </c>
      <c r="D52" s="13" t="s">
        <v>302</v>
      </c>
      <c r="E52" s="58">
        <v>7</v>
      </c>
      <c r="F52" s="58">
        <v>15</v>
      </c>
      <c r="G52" s="61">
        <f t="shared" si="6"/>
        <v>0</v>
      </c>
      <c r="H52" s="13">
        <f t="shared" si="7"/>
        <v>0</v>
      </c>
      <c r="I52" s="13">
        <f t="shared" si="8"/>
        <v>0</v>
      </c>
      <c r="J52" s="59">
        <f t="shared" si="9"/>
        <v>0</v>
      </c>
    </row>
    <row r="53" spans="2:10" hidden="1" x14ac:dyDescent="0.25">
      <c r="B53" s="58" t="str">
        <f t="shared" si="5"/>
        <v>&lt;Nome curto / apelido / código do projeto &gt;</v>
      </c>
      <c r="C53" s="67">
        <v>7</v>
      </c>
      <c r="D53" s="13" t="s">
        <v>303</v>
      </c>
      <c r="E53" s="58">
        <v>7</v>
      </c>
      <c r="F53" s="58">
        <v>17</v>
      </c>
      <c r="G53" s="61">
        <f t="shared" si="6"/>
        <v>0</v>
      </c>
      <c r="H53" s="13">
        <f t="shared" si="7"/>
        <v>0</v>
      </c>
      <c r="I53" s="13">
        <f t="shared" si="8"/>
        <v>0</v>
      </c>
      <c r="J53" s="59">
        <f t="shared" si="9"/>
        <v>0</v>
      </c>
    </row>
    <row r="54" spans="2:10" hidden="1" x14ac:dyDescent="0.25">
      <c r="B54" s="58" t="str">
        <f t="shared" si="5"/>
        <v>&lt;Nome curto / apelido / código do projeto &gt;</v>
      </c>
      <c r="C54" s="67">
        <v>2</v>
      </c>
      <c r="D54" s="13" t="s">
        <v>305</v>
      </c>
      <c r="E54" s="58">
        <v>8</v>
      </c>
      <c r="F54" s="58">
        <v>7</v>
      </c>
      <c r="G54" s="61">
        <f t="shared" si="6"/>
        <v>0</v>
      </c>
      <c r="H54" s="13">
        <f t="shared" si="7"/>
        <v>0</v>
      </c>
      <c r="I54" s="13">
        <f t="shared" si="8"/>
        <v>0</v>
      </c>
      <c r="J54" s="59">
        <f t="shared" si="9"/>
        <v>0</v>
      </c>
    </row>
    <row r="55" spans="2:10" hidden="1" x14ac:dyDescent="0.25">
      <c r="B55" s="58" t="str">
        <f t="shared" si="5"/>
        <v>&lt;Nome curto / apelido / código do projeto &gt;</v>
      </c>
      <c r="C55" s="67">
        <v>3</v>
      </c>
      <c r="D55" s="13" t="s">
        <v>306</v>
      </c>
      <c r="E55" s="58">
        <v>8</v>
      </c>
      <c r="F55" s="58">
        <v>9</v>
      </c>
      <c r="G55" s="61">
        <f t="shared" si="6"/>
        <v>0</v>
      </c>
      <c r="H55" s="13">
        <f t="shared" si="7"/>
        <v>0</v>
      </c>
      <c r="I55" s="13">
        <f t="shared" si="8"/>
        <v>0</v>
      </c>
      <c r="J55" s="59">
        <f t="shared" si="9"/>
        <v>0</v>
      </c>
    </row>
    <row r="56" spans="2:10" hidden="1" x14ac:dyDescent="0.25">
      <c r="B56" s="58" t="str">
        <f t="shared" si="5"/>
        <v>&lt;Nome curto / apelido / código do projeto &gt;</v>
      </c>
      <c r="C56" s="67">
        <v>4</v>
      </c>
      <c r="D56" s="13" t="s">
        <v>307</v>
      </c>
      <c r="E56" s="58">
        <v>8</v>
      </c>
      <c r="F56" s="58">
        <v>11</v>
      </c>
      <c r="G56" s="61">
        <f t="shared" si="6"/>
        <v>0</v>
      </c>
      <c r="H56" s="13">
        <f t="shared" si="7"/>
        <v>0</v>
      </c>
      <c r="I56" s="13">
        <f t="shared" si="8"/>
        <v>0</v>
      </c>
      <c r="J56" s="59">
        <f t="shared" si="9"/>
        <v>0</v>
      </c>
    </row>
    <row r="57" spans="2:10" hidden="1" x14ac:dyDescent="0.25">
      <c r="B57" s="58" t="str">
        <f t="shared" si="5"/>
        <v>&lt;Nome curto / apelido / código do projeto &gt;</v>
      </c>
      <c r="C57" s="67">
        <v>5</v>
      </c>
      <c r="D57" s="13" t="s">
        <v>308</v>
      </c>
      <c r="E57" s="58">
        <v>8</v>
      </c>
      <c r="F57" s="58">
        <v>13</v>
      </c>
      <c r="G57" s="61">
        <f t="shared" si="6"/>
        <v>0</v>
      </c>
      <c r="H57" s="13">
        <f t="shared" si="7"/>
        <v>0</v>
      </c>
      <c r="I57" s="13">
        <f t="shared" si="8"/>
        <v>0</v>
      </c>
      <c r="J57" s="59">
        <f t="shared" si="9"/>
        <v>0</v>
      </c>
    </row>
    <row r="58" spans="2:10" hidden="1" x14ac:dyDescent="0.25">
      <c r="B58" s="58" t="str">
        <f t="shared" si="5"/>
        <v>&lt;Nome curto / apelido / código do projeto &gt;</v>
      </c>
      <c r="C58" s="67">
        <v>6</v>
      </c>
      <c r="D58" s="13" t="s">
        <v>309</v>
      </c>
      <c r="E58" s="58">
        <v>8</v>
      </c>
      <c r="F58" s="58">
        <v>15</v>
      </c>
      <c r="G58" s="61">
        <f t="shared" si="6"/>
        <v>0</v>
      </c>
      <c r="H58" s="13">
        <f t="shared" si="7"/>
        <v>0</v>
      </c>
      <c r="I58" s="13">
        <f t="shared" si="8"/>
        <v>0</v>
      </c>
      <c r="J58" s="59">
        <f t="shared" si="9"/>
        <v>0</v>
      </c>
    </row>
    <row r="59" spans="2:10" hidden="1" x14ac:dyDescent="0.25">
      <c r="B59" s="58" t="str">
        <f t="shared" si="5"/>
        <v>&lt;Nome curto / apelido / código do projeto &gt;</v>
      </c>
      <c r="C59" s="67">
        <v>7</v>
      </c>
      <c r="D59" s="13" t="s">
        <v>310</v>
      </c>
      <c r="E59" s="58">
        <v>8</v>
      </c>
      <c r="F59" s="58">
        <v>17</v>
      </c>
      <c r="G59" s="61">
        <f t="shared" si="6"/>
        <v>0</v>
      </c>
      <c r="H59" s="13">
        <f t="shared" si="7"/>
        <v>0</v>
      </c>
      <c r="I59" s="13">
        <f t="shared" si="8"/>
        <v>0</v>
      </c>
      <c r="J59" s="59">
        <f t="shared" si="9"/>
        <v>0</v>
      </c>
    </row>
    <row r="60" spans="2:10" hidden="1" x14ac:dyDescent="0.25">
      <c r="B60" s="58" t="str">
        <f t="shared" si="5"/>
        <v>&lt;Nome curto / apelido / código do projeto &gt;</v>
      </c>
      <c r="C60" s="67">
        <v>2</v>
      </c>
      <c r="D60" s="13" t="s">
        <v>312</v>
      </c>
      <c r="E60" s="58">
        <v>9</v>
      </c>
      <c r="F60" s="58">
        <v>7</v>
      </c>
      <c r="G60" s="61">
        <f t="shared" si="6"/>
        <v>0</v>
      </c>
      <c r="H60" s="13">
        <f t="shared" si="7"/>
        <v>0</v>
      </c>
      <c r="I60" s="13">
        <f t="shared" si="8"/>
        <v>0</v>
      </c>
      <c r="J60" s="59">
        <f t="shared" si="9"/>
        <v>0</v>
      </c>
    </row>
    <row r="61" spans="2:10" hidden="1" x14ac:dyDescent="0.25">
      <c r="B61" s="58" t="str">
        <f t="shared" si="5"/>
        <v>&lt;Nome curto / apelido / código do projeto &gt;</v>
      </c>
      <c r="C61" s="67">
        <v>3</v>
      </c>
      <c r="D61" s="13" t="s">
        <v>313</v>
      </c>
      <c r="E61" s="58">
        <v>9</v>
      </c>
      <c r="F61" s="58">
        <v>9</v>
      </c>
      <c r="G61" s="61">
        <f t="shared" si="6"/>
        <v>0</v>
      </c>
      <c r="H61" s="13">
        <f t="shared" si="7"/>
        <v>0</v>
      </c>
      <c r="I61" s="13">
        <f t="shared" si="8"/>
        <v>0</v>
      </c>
      <c r="J61" s="59">
        <f t="shared" si="9"/>
        <v>0</v>
      </c>
    </row>
    <row r="62" spans="2:10" hidden="1" x14ac:dyDescent="0.25">
      <c r="B62" s="58" t="str">
        <f t="shared" si="5"/>
        <v>&lt;Nome curto / apelido / código do projeto &gt;</v>
      </c>
      <c r="C62" s="67">
        <v>4</v>
      </c>
      <c r="D62" s="13" t="s">
        <v>314</v>
      </c>
      <c r="E62" s="58">
        <v>9</v>
      </c>
      <c r="F62" s="58">
        <v>11</v>
      </c>
      <c r="G62" s="61">
        <f t="shared" si="6"/>
        <v>0</v>
      </c>
      <c r="H62" s="13">
        <f t="shared" si="7"/>
        <v>0</v>
      </c>
      <c r="I62" s="13">
        <f t="shared" si="8"/>
        <v>0</v>
      </c>
      <c r="J62" s="59">
        <f t="shared" si="9"/>
        <v>0</v>
      </c>
    </row>
    <row r="63" spans="2:10" hidden="1" x14ac:dyDescent="0.25">
      <c r="B63" s="58" t="str">
        <f t="shared" si="5"/>
        <v>&lt;Nome curto / apelido / código do projeto &gt;</v>
      </c>
      <c r="C63" s="67">
        <v>5</v>
      </c>
      <c r="D63" s="13" t="s">
        <v>315</v>
      </c>
      <c r="E63" s="58">
        <v>9</v>
      </c>
      <c r="F63" s="58">
        <v>13</v>
      </c>
      <c r="G63" s="61">
        <f t="shared" si="6"/>
        <v>0</v>
      </c>
      <c r="H63" s="13">
        <f t="shared" si="7"/>
        <v>0</v>
      </c>
      <c r="I63" s="13">
        <f t="shared" si="8"/>
        <v>0</v>
      </c>
      <c r="J63" s="59">
        <f t="shared" si="9"/>
        <v>0</v>
      </c>
    </row>
    <row r="64" spans="2:10" hidden="1" x14ac:dyDescent="0.25">
      <c r="B64" s="58" t="str">
        <f t="shared" si="5"/>
        <v>&lt;Nome curto / apelido / código do projeto &gt;</v>
      </c>
      <c r="C64" s="67">
        <v>6</v>
      </c>
      <c r="D64" s="13" t="s">
        <v>316</v>
      </c>
      <c r="E64" s="58">
        <v>9</v>
      </c>
      <c r="F64" s="58">
        <v>15</v>
      </c>
      <c r="G64" s="61">
        <f t="shared" si="6"/>
        <v>0</v>
      </c>
      <c r="H64" s="13">
        <f t="shared" si="7"/>
        <v>0</v>
      </c>
      <c r="I64" s="13">
        <f t="shared" si="8"/>
        <v>0</v>
      </c>
      <c r="J64" s="59">
        <f t="shared" si="9"/>
        <v>0</v>
      </c>
    </row>
    <row r="65" spans="2:10" hidden="1" x14ac:dyDescent="0.25">
      <c r="B65" s="58" t="str">
        <f t="shared" si="5"/>
        <v>&lt;Nome curto / apelido / código do projeto &gt;</v>
      </c>
      <c r="C65" s="67">
        <v>7</v>
      </c>
      <c r="D65" s="13" t="s">
        <v>317</v>
      </c>
      <c r="E65" s="58">
        <v>9</v>
      </c>
      <c r="F65" s="58">
        <v>17</v>
      </c>
      <c r="G65" s="61">
        <f t="shared" si="6"/>
        <v>0</v>
      </c>
      <c r="H65" s="13">
        <f t="shared" si="7"/>
        <v>0</v>
      </c>
      <c r="I65" s="13">
        <f t="shared" si="8"/>
        <v>0</v>
      </c>
      <c r="J65" s="59">
        <f t="shared" si="9"/>
        <v>0</v>
      </c>
    </row>
    <row r="66" spans="2:10" hidden="1" x14ac:dyDescent="0.25">
      <c r="B66" s="58" t="str">
        <f t="shared" ref="B66:B97" si="10">INDEX(projetos,E66,1)</f>
        <v>&lt;Nome curto / apelido / código do projeto &gt;</v>
      </c>
      <c r="C66" s="67">
        <v>2</v>
      </c>
      <c r="D66" s="13" t="s">
        <v>319</v>
      </c>
      <c r="E66" s="58">
        <v>10</v>
      </c>
      <c r="F66" s="58">
        <v>7</v>
      </c>
      <c r="G66" s="61">
        <f t="shared" ref="G66:G97" si="11">INDEX(projetos,E66,F66)</f>
        <v>0</v>
      </c>
      <c r="H66" s="13">
        <f t="shared" ref="H66:H97" si="12">INDEX(projetos,E66,3)</f>
        <v>0</v>
      </c>
      <c r="I66" s="13">
        <f t="shared" ref="I66:I97" si="13">INDEX(projetos,E66,4)</f>
        <v>0</v>
      </c>
      <c r="J66" s="59">
        <f t="shared" ref="J66:J97" si="14">INDEX(projetos,E66,F66+1)</f>
        <v>0</v>
      </c>
    </row>
    <row r="67" spans="2:10" hidden="1" x14ac:dyDescent="0.25">
      <c r="B67" s="58" t="str">
        <f t="shared" si="10"/>
        <v>&lt;Nome curto / apelido / código do projeto &gt;</v>
      </c>
      <c r="C67" s="67">
        <v>3</v>
      </c>
      <c r="D67" s="13" t="s">
        <v>320</v>
      </c>
      <c r="E67" s="58">
        <v>10</v>
      </c>
      <c r="F67" s="58">
        <v>9</v>
      </c>
      <c r="G67" s="61">
        <f t="shared" si="11"/>
        <v>0</v>
      </c>
      <c r="H67" s="13">
        <f t="shared" si="12"/>
        <v>0</v>
      </c>
      <c r="I67" s="13">
        <f t="shared" si="13"/>
        <v>0</v>
      </c>
      <c r="J67" s="59">
        <f t="shared" si="14"/>
        <v>0</v>
      </c>
    </row>
    <row r="68" spans="2:10" hidden="1" x14ac:dyDescent="0.25">
      <c r="B68" s="58" t="str">
        <f t="shared" si="10"/>
        <v>&lt;Nome curto / apelido / código do projeto &gt;</v>
      </c>
      <c r="C68" s="67">
        <v>4</v>
      </c>
      <c r="D68" s="13" t="s">
        <v>321</v>
      </c>
      <c r="E68" s="58">
        <v>10</v>
      </c>
      <c r="F68" s="58">
        <v>11</v>
      </c>
      <c r="G68" s="61">
        <f t="shared" si="11"/>
        <v>0</v>
      </c>
      <c r="H68" s="13">
        <f t="shared" si="12"/>
        <v>0</v>
      </c>
      <c r="I68" s="13">
        <f t="shared" si="13"/>
        <v>0</v>
      </c>
      <c r="J68" s="59">
        <f t="shared" si="14"/>
        <v>0</v>
      </c>
    </row>
    <row r="69" spans="2:10" hidden="1" x14ac:dyDescent="0.25">
      <c r="B69" s="58" t="str">
        <f t="shared" si="10"/>
        <v>&lt;Nome curto / apelido / código do projeto &gt;</v>
      </c>
      <c r="C69" s="67">
        <v>5</v>
      </c>
      <c r="D69" s="13" t="s">
        <v>322</v>
      </c>
      <c r="E69" s="58">
        <v>10</v>
      </c>
      <c r="F69" s="58">
        <v>13</v>
      </c>
      <c r="G69" s="61">
        <f t="shared" si="11"/>
        <v>0</v>
      </c>
      <c r="H69" s="13">
        <f t="shared" si="12"/>
        <v>0</v>
      </c>
      <c r="I69" s="13">
        <f t="shared" si="13"/>
        <v>0</v>
      </c>
      <c r="J69" s="59">
        <f t="shared" si="14"/>
        <v>0</v>
      </c>
    </row>
    <row r="70" spans="2:10" hidden="1" x14ac:dyDescent="0.25">
      <c r="B70" s="58" t="str">
        <f t="shared" si="10"/>
        <v>&lt;Nome curto / apelido / código do projeto &gt;</v>
      </c>
      <c r="C70" s="67">
        <v>6</v>
      </c>
      <c r="D70" s="13" t="s">
        <v>323</v>
      </c>
      <c r="E70" s="58">
        <v>10</v>
      </c>
      <c r="F70" s="58">
        <v>15</v>
      </c>
      <c r="G70" s="61">
        <f t="shared" si="11"/>
        <v>0</v>
      </c>
      <c r="H70" s="13">
        <f t="shared" si="12"/>
        <v>0</v>
      </c>
      <c r="I70" s="13">
        <f t="shared" si="13"/>
        <v>0</v>
      </c>
      <c r="J70" s="59">
        <f t="shared" si="14"/>
        <v>0</v>
      </c>
    </row>
    <row r="71" spans="2:10" hidden="1" x14ac:dyDescent="0.25">
      <c r="B71" s="58" t="str">
        <f t="shared" si="10"/>
        <v>&lt;Nome curto / apelido / código do projeto &gt;</v>
      </c>
      <c r="C71" s="67">
        <v>7</v>
      </c>
      <c r="D71" s="13" t="s">
        <v>324</v>
      </c>
      <c r="E71" s="58">
        <v>10</v>
      </c>
      <c r="F71" s="58">
        <v>17</v>
      </c>
      <c r="G71" s="61">
        <f t="shared" si="11"/>
        <v>0</v>
      </c>
      <c r="H71" s="13">
        <f t="shared" si="12"/>
        <v>0</v>
      </c>
      <c r="I71" s="13">
        <f t="shared" si="13"/>
        <v>0</v>
      </c>
      <c r="J71" s="59">
        <f t="shared" si="14"/>
        <v>0</v>
      </c>
    </row>
    <row r="72" spans="2:10" hidden="1" x14ac:dyDescent="0.25">
      <c r="B72" s="58" t="str">
        <f t="shared" si="10"/>
        <v>&lt;Nome curto / apelido / código do projeto &gt;</v>
      </c>
      <c r="C72" s="67">
        <v>2</v>
      </c>
      <c r="D72" s="13" t="s">
        <v>347</v>
      </c>
      <c r="E72" s="58">
        <v>14</v>
      </c>
      <c r="F72" s="58">
        <v>7</v>
      </c>
      <c r="G72" s="61">
        <f t="shared" si="11"/>
        <v>0</v>
      </c>
      <c r="H72" s="13">
        <f t="shared" si="12"/>
        <v>0</v>
      </c>
      <c r="I72" s="13">
        <f t="shared" si="13"/>
        <v>0</v>
      </c>
      <c r="J72" s="59">
        <f t="shared" si="14"/>
        <v>0</v>
      </c>
    </row>
    <row r="73" spans="2:10" hidden="1" x14ac:dyDescent="0.25">
      <c r="B73" s="58" t="str">
        <f t="shared" si="10"/>
        <v>&lt;Nome curto / apelido / código do projeto &gt;</v>
      </c>
      <c r="C73" s="67">
        <v>3</v>
      </c>
      <c r="D73" s="13" t="s">
        <v>348</v>
      </c>
      <c r="E73" s="58">
        <v>14</v>
      </c>
      <c r="F73" s="58">
        <v>9</v>
      </c>
      <c r="G73" s="61">
        <f t="shared" si="11"/>
        <v>0</v>
      </c>
      <c r="H73" s="13">
        <f t="shared" si="12"/>
        <v>0</v>
      </c>
      <c r="I73" s="13">
        <f t="shared" si="13"/>
        <v>0</v>
      </c>
      <c r="J73" s="59">
        <f t="shared" si="14"/>
        <v>0</v>
      </c>
    </row>
    <row r="74" spans="2:10" hidden="1" x14ac:dyDescent="0.25">
      <c r="B74" s="58" t="str">
        <f t="shared" si="10"/>
        <v>&lt;Nome curto / apelido / código do projeto &gt;</v>
      </c>
      <c r="C74" s="67">
        <v>4</v>
      </c>
      <c r="D74" s="13" t="s">
        <v>349</v>
      </c>
      <c r="E74" s="58">
        <v>14</v>
      </c>
      <c r="F74" s="58">
        <v>11</v>
      </c>
      <c r="G74" s="61">
        <f t="shared" si="11"/>
        <v>0</v>
      </c>
      <c r="H74" s="13">
        <f t="shared" si="12"/>
        <v>0</v>
      </c>
      <c r="I74" s="13">
        <f t="shared" si="13"/>
        <v>0</v>
      </c>
      <c r="J74" s="59">
        <f t="shared" si="14"/>
        <v>0</v>
      </c>
    </row>
    <row r="75" spans="2:10" hidden="1" x14ac:dyDescent="0.25">
      <c r="B75" s="58" t="str">
        <f t="shared" si="10"/>
        <v>&lt;Nome curto / apelido / código do projeto &gt;</v>
      </c>
      <c r="C75" s="67">
        <v>5</v>
      </c>
      <c r="D75" s="13" t="s">
        <v>350</v>
      </c>
      <c r="E75" s="58">
        <v>14</v>
      </c>
      <c r="F75" s="58">
        <v>13</v>
      </c>
      <c r="G75" s="61">
        <f t="shared" si="11"/>
        <v>0</v>
      </c>
      <c r="H75" s="13">
        <f t="shared" si="12"/>
        <v>0</v>
      </c>
      <c r="I75" s="13">
        <f t="shared" si="13"/>
        <v>0</v>
      </c>
      <c r="J75" s="59">
        <f t="shared" si="14"/>
        <v>0</v>
      </c>
    </row>
    <row r="76" spans="2:10" hidden="1" x14ac:dyDescent="0.25">
      <c r="B76" s="58" t="str">
        <f t="shared" si="10"/>
        <v>&lt;Nome curto / apelido / código do projeto &gt;</v>
      </c>
      <c r="C76" s="67">
        <v>6</v>
      </c>
      <c r="D76" s="13" t="s">
        <v>351</v>
      </c>
      <c r="E76" s="58">
        <v>14</v>
      </c>
      <c r="F76" s="58">
        <v>15</v>
      </c>
      <c r="G76" s="61">
        <f t="shared" si="11"/>
        <v>0</v>
      </c>
      <c r="H76" s="13">
        <f t="shared" si="12"/>
        <v>0</v>
      </c>
      <c r="I76" s="13">
        <f t="shared" si="13"/>
        <v>0</v>
      </c>
      <c r="J76" s="59">
        <f t="shared" si="14"/>
        <v>0</v>
      </c>
    </row>
    <row r="77" spans="2:10" hidden="1" x14ac:dyDescent="0.25">
      <c r="B77" s="58" t="str">
        <f t="shared" si="10"/>
        <v>&lt;Nome curto / apelido / código do projeto &gt;</v>
      </c>
      <c r="C77" s="67">
        <v>7</v>
      </c>
      <c r="D77" s="13" t="s">
        <v>352</v>
      </c>
      <c r="E77" s="58">
        <v>14</v>
      </c>
      <c r="F77" s="58">
        <v>17</v>
      </c>
      <c r="G77" s="61">
        <f t="shared" si="11"/>
        <v>0</v>
      </c>
      <c r="H77" s="13">
        <f t="shared" si="12"/>
        <v>0</v>
      </c>
      <c r="I77" s="13">
        <f t="shared" si="13"/>
        <v>0</v>
      </c>
      <c r="J77" s="59">
        <f t="shared" si="14"/>
        <v>0</v>
      </c>
    </row>
    <row r="78" spans="2:10" hidden="1" x14ac:dyDescent="0.25">
      <c r="B78" s="58" t="str">
        <f t="shared" si="10"/>
        <v>&lt;Nome curto / apelido / código do projeto &gt;</v>
      </c>
      <c r="C78" s="67">
        <v>2</v>
      </c>
      <c r="D78" s="13" t="s">
        <v>354</v>
      </c>
      <c r="E78" s="58">
        <v>15</v>
      </c>
      <c r="F78" s="58">
        <v>7</v>
      </c>
      <c r="G78" s="61">
        <f t="shared" si="11"/>
        <v>0</v>
      </c>
      <c r="H78" s="13">
        <f t="shared" si="12"/>
        <v>0</v>
      </c>
      <c r="I78" s="13">
        <f t="shared" si="13"/>
        <v>0</v>
      </c>
      <c r="J78" s="59">
        <f t="shared" si="14"/>
        <v>0</v>
      </c>
    </row>
    <row r="79" spans="2:10" hidden="1" x14ac:dyDescent="0.25">
      <c r="B79" s="58" t="str">
        <f t="shared" si="10"/>
        <v>&lt;Nome curto / apelido / código do projeto &gt;</v>
      </c>
      <c r="C79" s="67">
        <v>3</v>
      </c>
      <c r="D79" s="13" t="s">
        <v>355</v>
      </c>
      <c r="E79" s="58">
        <v>15</v>
      </c>
      <c r="F79" s="58">
        <v>9</v>
      </c>
      <c r="G79" s="61">
        <f t="shared" si="11"/>
        <v>0</v>
      </c>
      <c r="H79" s="13">
        <f t="shared" si="12"/>
        <v>0</v>
      </c>
      <c r="I79" s="13">
        <f t="shared" si="13"/>
        <v>0</v>
      </c>
      <c r="J79" s="59">
        <f t="shared" si="14"/>
        <v>0</v>
      </c>
    </row>
    <row r="80" spans="2:10" hidden="1" x14ac:dyDescent="0.25">
      <c r="B80" s="58" t="str">
        <f t="shared" si="10"/>
        <v>&lt;Nome curto / apelido / código do projeto &gt;</v>
      </c>
      <c r="C80" s="67">
        <v>4</v>
      </c>
      <c r="D80" s="13" t="s">
        <v>356</v>
      </c>
      <c r="E80" s="58">
        <v>15</v>
      </c>
      <c r="F80" s="58">
        <v>11</v>
      </c>
      <c r="G80" s="61">
        <f t="shared" si="11"/>
        <v>0</v>
      </c>
      <c r="H80" s="13">
        <f t="shared" si="12"/>
        <v>0</v>
      </c>
      <c r="I80" s="13">
        <f t="shared" si="13"/>
        <v>0</v>
      </c>
      <c r="J80" s="59">
        <f t="shared" si="14"/>
        <v>0</v>
      </c>
    </row>
    <row r="81" spans="2:10" hidden="1" x14ac:dyDescent="0.25">
      <c r="B81" s="58" t="str">
        <f t="shared" si="10"/>
        <v>&lt;Nome curto / apelido / código do projeto &gt;</v>
      </c>
      <c r="C81" s="67">
        <v>5</v>
      </c>
      <c r="D81" s="13" t="s">
        <v>357</v>
      </c>
      <c r="E81" s="58">
        <v>15</v>
      </c>
      <c r="F81" s="58">
        <v>13</v>
      </c>
      <c r="G81" s="61">
        <f t="shared" si="11"/>
        <v>0</v>
      </c>
      <c r="H81" s="13">
        <f t="shared" si="12"/>
        <v>0</v>
      </c>
      <c r="I81" s="13">
        <f t="shared" si="13"/>
        <v>0</v>
      </c>
      <c r="J81" s="59">
        <f t="shared" si="14"/>
        <v>0</v>
      </c>
    </row>
    <row r="82" spans="2:10" hidden="1" x14ac:dyDescent="0.25">
      <c r="B82" s="58" t="str">
        <f t="shared" si="10"/>
        <v>&lt;Nome curto / apelido / código do projeto &gt;</v>
      </c>
      <c r="C82" s="67">
        <v>6</v>
      </c>
      <c r="D82" s="13" t="s">
        <v>358</v>
      </c>
      <c r="E82" s="58">
        <v>15</v>
      </c>
      <c r="F82" s="58">
        <v>15</v>
      </c>
      <c r="G82" s="61">
        <f t="shared" si="11"/>
        <v>0</v>
      </c>
      <c r="H82" s="13">
        <f t="shared" si="12"/>
        <v>0</v>
      </c>
      <c r="I82" s="13">
        <f t="shared" si="13"/>
        <v>0</v>
      </c>
      <c r="J82" s="59">
        <f t="shared" si="14"/>
        <v>0</v>
      </c>
    </row>
    <row r="83" spans="2:10" hidden="1" x14ac:dyDescent="0.25">
      <c r="B83" s="58" t="str">
        <f t="shared" si="10"/>
        <v>&lt;Nome curto / apelido / código do projeto &gt;</v>
      </c>
      <c r="C83" s="67">
        <v>7</v>
      </c>
      <c r="D83" s="13" t="s">
        <v>359</v>
      </c>
      <c r="E83" s="58">
        <v>15</v>
      </c>
      <c r="F83" s="58">
        <v>17</v>
      </c>
      <c r="G83" s="61">
        <f t="shared" si="11"/>
        <v>0</v>
      </c>
      <c r="H83" s="13">
        <f t="shared" si="12"/>
        <v>0</v>
      </c>
      <c r="I83" s="13">
        <f t="shared" si="13"/>
        <v>0</v>
      </c>
      <c r="J83" s="59">
        <f t="shared" si="14"/>
        <v>0</v>
      </c>
    </row>
    <row r="84" spans="2:10" hidden="1" x14ac:dyDescent="0.25">
      <c r="B84" s="58" t="str">
        <f t="shared" si="10"/>
        <v>&lt;Nome curto / apelido / código do projeto &gt;</v>
      </c>
      <c r="C84" s="67">
        <v>2</v>
      </c>
      <c r="D84" s="13" t="s">
        <v>361</v>
      </c>
      <c r="E84" s="58">
        <v>16</v>
      </c>
      <c r="F84" s="58">
        <v>7</v>
      </c>
      <c r="G84" s="61">
        <f t="shared" si="11"/>
        <v>0</v>
      </c>
      <c r="H84" s="13">
        <f t="shared" si="12"/>
        <v>0</v>
      </c>
      <c r="I84" s="13">
        <f t="shared" si="13"/>
        <v>0</v>
      </c>
      <c r="J84" s="59">
        <f t="shared" si="14"/>
        <v>0</v>
      </c>
    </row>
    <row r="85" spans="2:10" hidden="1" x14ac:dyDescent="0.25">
      <c r="B85" s="58" t="str">
        <f t="shared" si="10"/>
        <v>&lt;Nome curto / apelido / código do projeto &gt;</v>
      </c>
      <c r="C85" s="67">
        <v>3</v>
      </c>
      <c r="D85" s="13" t="s">
        <v>362</v>
      </c>
      <c r="E85" s="58">
        <v>16</v>
      </c>
      <c r="F85" s="58">
        <v>9</v>
      </c>
      <c r="G85" s="61">
        <f t="shared" si="11"/>
        <v>0</v>
      </c>
      <c r="H85" s="13">
        <f t="shared" si="12"/>
        <v>0</v>
      </c>
      <c r="I85" s="13">
        <f t="shared" si="13"/>
        <v>0</v>
      </c>
      <c r="J85" s="59">
        <f t="shared" si="14"/>
        <v>0</v>
      </c>
    </row>
    <row r="86" spans="2:10" hidden="1" x14ac:dyDescent="0.25">
      <c r="B86" s="58" t="str">
        <f t="shared" si="10"/>
        <v>&lt;Nome curto / apelido / código do projeto &gt;</v>
      </c>
      <c r="C86" s="67">
        <v>4</v>
      </c>
      <c r="D86" s="13" t="s">
        <v>363</v>
      </c>
      <c r="E86" s="58">
        <v>16</v>
      </c>
      <c r="F86" s="58">
        <v>11</v>
      </c>
      <c r="G86" s="61">
        <f t="shared" si="11"/>
        <v>0</v>
      </c>
      <c r="H86" s="13">
        <f t="shared" si="12"/>
        <v>0</v>
      </c>
      <c r="I86" s="13">
        <f t="shared" si="13"/>
        <v>0</v>
      </c>
      <c r="J86" s="59">
        <f t="shared" si="14"/>
        <v>0</v>
      </c>
    </row>
    <row r="87" spans="2:10" hidden="1" x14ac:dyDescent="0.25">
      <c r="B87" s="58" t="str">
        <f t="shared" si="10"/>
        <v>&lt;Nome curto / apelido / código do projeto &gt;</v>
      </c>
      <c r="C87" s="67">
        <v>5</v>
      </c>
      <c r="D87" s="13" t="s">
        <v>364</v>
      </c>
      <c r="E87" s="58">
        <v>16</v>
      </c>
      <c r="F87" s="58">
        <v>13</v>
      </c>
      <c r="G87" s="61">
        <f t="shared" si="11"/>
        <v>0</v>
      </c>
      <c r="H87" s="13">
        <f t="shared" si="12"/>
        <v>0</v>
      </c>
      <c r="I87" s="13">
        <f t="shared" si="13"/>
        <v>0</v>
      </c>
      <c r="J87" s="59">
        <f t="shared" si="14"/>
        <v>0</v>
      </c>
    </row>
    <row r="88" spans="2:10" hidden="1" x14ac:dyDescent="0.25">
      <c r="B88" s="58" t="str">
        <f t="shared" si="10"/>
        <v>&lt;Nome curto / apelido / código do projeto &gt;</v>
      </c>
      <c r="C88" s="67">
        <v>6</v>
      </c>
      <c r="D88" s="13" t="s">
        <v>365</v>
      </c>
      <c r="E88" s="58">
        <v>16</v>
      </c>
      <c r="F88" s="58">
        <v>15</v>
      </c>
      <c r="G88" s="61">
        <f t="shared" si="11"/>
        <v>0</v>
      </c>
      <c r="H88" s="13">
        <f t="shared" si="12"/>
        <v>0</v>
      </c>
      <c r="I88" s="13">
        <f t="shared" si="13"/>
        <v>0</v>
      </c>
      <c r="J88" s="59">
        <f t="shared" si="14"/>
        <v>0</v>
      </c>
    </row>
    <row r="89" spans="2:10" hidden="1" x14ac:dyDescent="0.25">
      <c r="B89" s="58" t="str">
        <f t="shared" si="10"/>
        <v>&lt;Nome curto / apelido / código do projeto &gt;</v>
      </c>
      <c r="C89" s="67">
        <v>7</v>
      </c>
      <c r="D89" s="13" t="s">
        <v>366</v>
      </c>
      <c r="E89" s="58">
        <v>16</v>
      </c>
      <c r="F89" s="58">
        <v>17</v>
      </c>
      <c r="G89" s="61">
        <f t="shared" si="11"/>
        <v>0</v>
      </c>
      <c r="H89" s="13">
        <f t="shared" si="12"/>
        <v>0</v>
      </c>
      <c r="I89" s="13">
        <f t="shared" si="13"/>
        <v>0</v>
      </c>
      <c r="J89" s="59">
        <f t="shared" si="14"/>
        <v>0</v>
      </c>
    </row>
    <row r="90" spans="2:10" hidden="1" x14ac:dyDescent="0.25">
      <c r="B90" s="58" t="str">
        <f t="shared" si="10"/>
        <v>&lt;Nome curto / apelido / código do projeto &gt;</v>
      </c>
      <c r="C90" s="67">
        <v>2</v>
      </c>
      <c r="D90" s="13" t="s">
        <v>368</v>
      </c>
      <c r="E90" s="58">
        <v>17</v>
      </c>
      <c r="F90" s="58">
        <v>7</v>
      </c>
      <c r="G90" s="61">
        <f t="shared" si="11"/>
        <v>0</v>
      </c>
      <c r="H90" s="13">
        <f t="shared" si="12"/>
        <v>0</v>
      </c>
      <c r="I90" s="13">
        <f t="shared" si="13"/>
        <v>0</v>
      </c>
      <c r="J90" s="59">
        <f t="shared" si="14"/>
        <v>0</v>
      </c>
    </row>
    <row r="91" spans="2:10" hidden="1" x14ac:dyDescent="0.25">
      <c r="B91" s="58" t="str">
        <f t="shared" si="10"/>
        <v>&lt;Nome curto / apelido / código do projeto &gt;</v>
      </c>
      <c r="C91" s="67">
        <v>3</v>
      </c>
      <c r="D91" s="13" t="s">
        <v>369</v>
      </c>
      <c r="E91" s="58">
        <v>17</v>
      </c>
      <c r="F91" s="58">
        <v>9</v>
      </c>
      <c r="G91" s="61">
        <f t="shared" si="11"/>
        <v>0</v>
      </c>
      <c r="H91" s="13">
        <f t="shared" si="12"/>
        <v>0</v>
      </c>
      <c r="I91" s="13">
        <f t="shared" si="13"/>
        <v>0</v>
      </c>
      <c r="J91" s="59">
        <f t="shared" si="14"/>
        <v>0</v>
      </c>
    </row>
    <row r="92" spans="2:10" hidden="1" x14ac:dyDescent="0.25">
      <c r="B92" s="58" t="str">
        <f t="shared" si="10"/>
        <v>&lt;Nome curto / apelido / código do projeto &gt;</v>
      </c>
      <c r="C92" s="67">
        <v>4</v>
      </c>
      <c r="D92" s="13" t="s">
        <v>370</v>
      </c>
      <c r="E92" s="58">
        <v>17</v>
      </c>
      <c r="F92" s="58">
        <v>11</v>
      </c>
      <c r="G92" s="61">
        <f t="shared" si="11"/>
        <v>0</v>
      </c>
      <c r="H92" s="13">
        <f t="shared" si="12"/>
        <v>0</v>
      </c>
      <c r="I92" s="13">
        <f t="shared" si="13"/>
        <v>0</v>
      </c>
      <c r="J92" s="59">
        <f t="shared" si="14"/>
        <v>0</v>
      </c>
    </row>
    <row r="93" spans="2:10" hidden="1" x14ac:dyDescent="0.25">
      <c r="B93" s="58" t="str">
        <f t="shared" si="10"/>
        <v>&lt;Nome curto / apelido / código do projeto &gt;</v>
      </c>
      <c r="C93" s="67">
        <v>5</v>
      </c>
      <c r="D93" s="13" t="s">
        <v>371</v>
      </c>
      <c r="E93" s="58">
        <v>17</v>
      </c>
      <c r="F93" s="58">
        <v>13</v>
      </c>
      <c r="G93" s="61">
        <f t="shared" si="11"/>
        <v>0</v>
      </c>
      <c r="H93" s="13">
        <f t="shared" si="12"/>
        <v>0</v>
      </c>
      <c r="I93" s="13">
        <f t="shared" si="13"/>
        <v>0</v>
      </c>
      <c r="J93" s="59">
        <f t="shared" si="14"/>
        <v>0</v>
      </c>
    </row>
    <row r="94" spans="2:10" hidden="1" x14ac:dyDescent="0.25">
      <c r="B94" s="58" t="str">
        <f t="shared" si="10"/>
        <v>&lt;Nome curto / apelido / código do projeto &gt;</v>
      </c>
      <c r="C94" s="67">
        <v>6</v>
      </c>
      <c r="D94" s="13" t="s">
        <v>372</v>
      </c>
      <c r="E94" s="58">
        <v>17</v>
      </c>
      <c r="F94" s="58">
        <v>15</v>
      </c>
      <c r="G94" s="61">
        <f t="shared" si="11"/>
        <v>0</v>
      </c>
      <c r="H94" s="13">
        <f t="shared" si="12"/>
        <v>0</v>
      </c>
      <c r="I94" s="13">
        <f t="shared" si="13"/>
        <v>0</v>
      </c>
      <c r="J94" s="59">
        <f t="shared" si="14"/>
        <v>0</v>
      </c>
    </row>
    <row r="95" spans="2:10" hidden="1" x14ac:dyDescent="0.25">
      <c r="B95" s="58" t="str">
        <f t="shared" si="10"/>
        <v>&lt;Nome curto / apelido / código do projeto &gt;</v>
      </c>
      <c r="C95" s="67">
        <v>7</v>
      </c>
      <c r="D95" s="13" t="s">
        <v>373</v>
      </c>
      <c r="E95" s="58">
        <v>17</v>
      </c>
      <c r="F95" s="58">
        <v>17</v>
      </c>
      <c r="G95" s="61">
        <f t="shared" si="11"/>
        <v>0</v>
      </c>
      <c r="H95" s="13">
        <f t="shared" si="12"/>
        <v>0</v>
      </c>
      <c r="I95" s="13">
        <f t="shared" si="13"/>
        <v>0</v>
      </c>
      <c r="J95" s="59">
        <f t="shared" si="14"/>
        <v>0</v>
      </c>
    </row>
    <row r="96" spans="2:10" hidden="1" x14ac:dyDescent="0.25">
      <c r="B96" s="58" t="str">
        <f t="shared" si="10"/>
        <v>&lt;Nome curto / apelido / código do projeto &gt;</v>
      </c>
      <c r="C96" s="67">
        <v>2</v>
      </c>
      <c r="D96" s="13" t="s">
        <v>375</v>
      </c>
      <c r="E96" s="58">
        <v>18</v>
      </c>
      <c r="F96" s="58">
        <v>7</v>
      </c>
      <c r="G96" s="61">
        <f t="shared" si="11"/>
        <v>0</v>
      </c>
      <c r="H96" s="13">
        <f t="shared" si="12"/>
        <v>0</v>
      </c>
      <c r="I96" s="13">
        <f t="shared" si="13"/>
        <v>0</v>
      </c>
      <c r="J96" s="59">
        <f t="shared" si="14"/>
        <v>0</v>
      </c>
    </row>
    <row r="97" spans="2:10" hidden="1" x14ac:dyDescent="0.25">
      <c r="B97" s="58" t="str">
        <f t="shared" si="10"/>
        <v>&lt;Nome curto / apelido / código do projeto &gt;</v>
      </c>
      <c r="C97" s="67">
        <v>3</v>
      </c>
      <c r="D97" s="13" t="s">
        <v>376</v>
      </c>
      <c r="E97" s="58">
        <v>18</v>
      </c>
      <c r="F97" s="58">
        <v>9</v>
      </c>
      <c r="G97" s="61">
        <f t="shared" si="11"/>
        <v>0</v>
      </c>
      <c r="H97" s="13">
        <f t="shared" si="12"/>
        <v>0</v>
      </c>
      <c r="I97" s="13">
        <f t="shared" si="13"/>
        <v>0</v>
      </c>
      <c r="J97" s="59">
        <f t="shared" si="14"/>
        <v>0</v>
      </c>
    </row>
    <row r="98" spans="2:10" hidden="1" x14ac:dyDescent="0.25">
      <c r="B98" s="58" t="str">
        <f t="shared" ref="B98:B129" si="15">INDEX(projetos,E98,1)</f>
        <v>&lt;Nome curto / apelido / código do projeto &gt;</v>
      </c>
      <c r="C98" s="67">
        <v>4</v>
      </c>
      <c r="D98" s="13" t="s">
        <v>377</v>
      </c>
      <c r="E98" s="58">
        <v>18</v>
      </c>
      <c r="F98" s="58">
        <v>11</v>
      </c>
      <c r="G98" s="61">
        <f t="shared" ref="G98:G129" si="16">INDEX(projetos,E98,F98)</f>
        <v>0</v>
      </c>
      <c r="H98" s="13">
        <f t="shared" ref="H98:H129" si="17">INDEX(projetos,E98,3)</f>
        <v>0</v>
      </c>
      <c r="I98" s="13">
        <f t="shared" ref="I98:I129" si="18">INDEX(projetos,E98,4)</f>
        <v>0</v>
      </c>
      <c r="J98" s="59">
        <f t="shared" ref="J98:J129" si="19">INDEX(projetos,E98,F98+1)</f>
        <v>0</v>
      </c>
    </row>
    <row r="99" spans="2:10" hidden="1" x14ac:dyDescent="0.25">
      <c r="B99" s="58" t="str">
        <f t="shared" si="15"/>
        <v>&lt;Nome curto / apelido / código do projeto &gt;</v>
      </c>
      <c r="C99" s="67">
        <v>5</v>
      </c>
      <c r="D99" s="13" t="s">
        <v>378</v>
      </c>
      <c r="E99" s="58">
        <v>18</v>
      </c>
      <c r="F99" s="58">
        <v>13</v>
      </c>
      <c r="G99" s="61">
        <f t="shared" si="16"/>
        <v>0</v>
      </c>
      <c r="H99" s="13">
        <f t="shared" si="17"/>
        <v>0</v>
      </c>
      <c r="I99" s="13">
        <f t="shared" si="18"/>
        <v>0</v>
      </c>
      <c r="J99" s="59">
        <f t="shared" si="19"/>
        <v>0</v>
      </c>
    </row>
    <row r="100" spans="2:10" hidden="1" x14ac:dyDescent="0.25">
      <c r="B100" s="58" t="str">
        <f t="shared" si="15"/>
        <v>&lt;Nome curto / apelido / código do projeto &gt;</v>
      </c>
      <c r="C100" s="67">
        <v>6</v>
      </c>
      <c r="D100" s="13" t="s">
        <v>379</v>
      </c>
      <c r="E100" s="58">
        <v>18</v>
      </c>
      <c r="F100" s="58">
        <v>15</v>
      </c>
      <c r="G100" s="61">
        <f t="shared" si="16"/>
        <v>0</v>
      </c>
      <c r="H100" s="13">
        <f t="shared" si="17"/>
        <v>0</v>
      </c>
      <c r="I100" s="13">
        <f t="shared" si="18"/>
        <v>0</v>
      </c>
      <c r="J100" s="59">
        <f t="shared" si="19"/>
        <v>0</v>
      </c>
    </row>
    <row r="101" spans="2:10" hidden="1" x14ac:dyDescent="0.25">
      <c r="B101" s="58" t="str">
        <f t="shared" si="15"/>
        <v>&lt;Nome curto / apelido / código do projeto &gt;</v>
      </c>
      <c r="C101" s="67">
        <v>7</v>
      </c>
      <c r="D101" s="13" t="s">
        <v>380</v>
      </c>
      <c r="E101" s="58">
        <v>18</v>
      </c>
      <c r="F101" s="58">
        <v>17</v>
      </c>
      <c r="G101" s="61">
        <f t="shared" si="16"/>
        <v>0</v>
      </c>
      <c r="H101" s="13">
        <f t="shared" si="17"/>
        <v>0</v>
      </c>
      <c r="I101" s="13">
        <f t="shared" si="18"/>
        <v>0</v>
      </c>
      <c r="J101" s="59">
        <f t="shared" si="19"/>
        <v>0</v>
      </c>
    </row>
    <row r="102" spans="2:10" hidden="1" x14ac:dyDescent="0.25">
      <c r="B102" s="58" t="str">
        <f t="shared" si="15"/>
        <v>&lt;Nome curto / apelido / código do projeto &gt;</v>
      </c>
      <c r="C102" s="67">
        <v>2</v>
      </c>
      <c r="D102" s="13" t="s">
        <v>382</v>
      </c>
      <c r="E102" s="58">
        <v>19</v>
      </c>
      <c r="F102" s="58">
        <v>7</v>
      </c>
      <c r="G102" s="61">
        <f t="shared" si="16"/>
        <v>0</v>
      </c>
      <c r="H102" s="13">
        <f t="shared" si="17"/>
        <v>0</v>
      </c>
      <c r="I102" s="13">
        <f t="shared" si="18"/>
        <v>0</v>
      </c>
      <c r="J102" s="59">
        <f t="shared" si="19"/>
        <v>0</v>
      </c>
    </row>
    <row r="103" spans="2:10" hidden="1" x14ac:dyDescent="0.25">
      <c r="B103" s="58" t="str">
        <f t="shared" si="15"/>
        <v>&lt;Nome curto / apelido / código do projeto &gt;</v>
      </c>
      <c r="C103" s="67">
        <v>3</v>
      </c>
      <c r="D103" s="13" t="s">
        <v>383</v>
      </c>
      <c r="E103" s="58">
        <v>19</v>
      </c>
      <c r="F103" s="58">
        <v>9</v>
      </c>
      <c r="G103" s="61">
        <f t="shared" si="16"/>
        <v>0</v>
      </c>
      <c r="H103" s="13">
        <f t="shared" si="17"/>
        <v>0</v>
      </c>
      <c r="I103" s="13">
        <f t="shared" si="18"/>
        <v>0</v>
      </c>
      <c r="J103" s="59">
        <f t="shared" si="19"/>
        <v>0</v>
      </c>
    </row>
    <row r="104" spans="2:10" hidden="1" x14ac:dyDescent="0.25">
      <c r="B104" s="58" t="str">
        <f t="shared" si="15"/>
        <v>&lt;Nome curto / apelido / código do projeto &gt;</v>
      </c>
      <c r="C104" s="67">
        <v>4</v>
      </c>
      <c r="D104" s="13" t="s">
        <v>384</v>
      </c>
      <c r="E104" s="58">
        <v>19</v>
      </c>
      <c r="F104" s="58">
        <v>11</v>
      </c>
      <c r="G104" s="61">
        <f t="shared" si="16"/>
        <v>0</v>
      </c>
      <c r="H104" s="13">
        <f t="shared" si="17"/>
        <v>0</v>
      </c>
      <c r="I104" s="13">
        <f t="shared" si="18"/>
        <v>0</v>
      </c>
      <c r="J104" s="59">
        <f t="shared" si="19"/>
        <v>0</v>
      </c>
    </row>
    <row r="105" spans="2:10" hidden="1" x14ac:dyDescent="0.25">
      <c r="B105" s="58" t="str">
        <f t="shared" si="15"/>
        <v>&lt;Nome curto / apelido / código do projeto &gt;</v>
      </c>
      <c r="C105" s="67">
        <v>5</v>
      </c>
      <c r="D105" s="13" t="s">
        <v>385</v>
      </c>
      <c r="E105" s="58">
        <v>19</v>
      </c>
      <c r="F105" s="58">
        <v>13</v>
      </c>
      <c r="G105" s="61">
        <f t="shared" si="16"/>
        <v>0</v>
      </c>
      <c r="H105" s="13">
        <f t="shared" si="17"/>
        <v>0</v>
      </c>
      <c r="I105" s="13">
        <f t="shared" si="18"/>
        <v>0</v>
      </c>
      <c r="J105" s="59">
        <f t="shared" si="19"/>
        <v>0</v>
      </c>
    </row>
    <row r="106" spans="2:10" hidden="1" x14ac:dyDescent="0.25">
      <c r="B106" s="58" t="str">
        <f t="shared" si="15"/>
        <v>&lt;Nome curto / apelido / código do projeto &gt;</v>
      </c>
      <c r="C106" s="67">
        <v>6</v>
      </c>
      <c r="D106" s="13" t="s">
        <v>386</v>
      </c>
      <c r="E106" s="58">
        <v>19</v>
      </c>
      <c r="F106" s="58">
        <v>15</v>
      </c>
      <c r="G106" s="61">
        <f t="shared" si="16"/>
        <v>0</v>
      </c>
      <c r="H106" s="13">
        <f t="shared" si="17"/>
        <v>0</v>
      </c>
      <c r="I106" s="13">
        <f t="shared" si="18"/>
        <v>0</v>
      </c>
      <c r="J106" s="59">
        <f t="shared" si="19"/>
        <v>0</v>
      </c>
    </row>
    <row r="107" spans="2:10" hidden="1" x14ac:dyDescent="0.25">
      <c r="B107" s="58" t="str">
        <f t="shared" si="15"/>
        <v>&lt;Nome curto / apelido / código do projeto &gt;</v>
      </c>
      <c r="C107" s="67">
        <v>7</v>
      </c>
      <c r="D107" s="13" t="s">
        <v>387</v>
      </c>
      <c r="E107" s="58">
        <v>19</v>
      </c>
      <c r="F107" s="58">
        <v>17</v>
      </c>
      <c r="G107" s="61">
        <f t="shared" si="16"/>
        <v>0</v>
      </c>
      <c r="H107" s="13">
        <f t="shared" si="17"/>
        <v>0</v>
      </c>
      <c r="I107" s="13">
        <f t="shared" si="18"/>
        <v>0</v>
      </c>
      <c r="J107" s="59">
        <f t="shared" si="19"/>
        <v>0</v>
      </c>
    </row>
    <row r="108" spans="2:10" hidden="1" x14ac:dyDescent="0.25">
      <c r="B108" s="58" t="str">
        <f t="shared" si="15"/>
        <v>&lt;Nome curto / apelido / código do projeto &gt;</v>
      </c>
      <c r="C108" s="67">
        <v>2</v>
      </c>
      <c r="D108" s="13" t="s">
        <v>389</v>
      </c>
      <c r="E108" s="58">
        <v>20</v>
      </c>
      <c r="F108" s="58">
        <v>7</v>
      </c>
      <c r="G108" s="61">
        <f t="shared" si="16"/>
        <v>0</v>
      </c>
      <c r="H108" s="13">
        <f t="shared" si="17"/>
        <v>0</v>
      </c>
      <c r="I108" s="13">
        <f t="shared" si="18"/>
        <v>0</v>
      </c>
      <c r="J108" s="59">
        <f t="shared" si="19"/>
        <v>0</v>
      </c>
    </row>
    <row r="109" spans="2:10" hidden="1" x14ac:dyDescent="0.25">
      <c r="B109" s="58" t="str">
        <f t="shared" si="15"/>
        <v>&lt;Nome curto / apelido / código do projeto &gt;</v>
      </c>
      <c r="C109" s="67">
        <v>3</v>
      </c>
      <c r="D109" s="13" t="s">
        <v>390</v>
      </c>
      <c r="E109" s="58">
        <v>20</v>
      </c>
      <c r="F109" s="58">
        <v>9</v>
      </c>
      <c r="G109" s="61">
        <f t="shared" si="16"/>
        <v>0</v>
      </c>
      <c r="H109" s="13">
        <f t="shared" si="17"/>
        <v>0</v>
      </c>
      <c r="I109" s="13">
        <f t="shared" si="18"/>
        <v>0</v>
      </c>
      <c r="J109" s="59">
        <f t="shared" si="19"/>
        <v>0</v>
      </c>
    </row>
    <row r="110" spans="2:10" hidden="1" x14ac:dyDescent="0.25">
      <c r="B110" s="58" t="str">
        <f t="shared" si="15"/>
        <v>&lt;Nome curto / apelido / código do projeto &gt;</v>
      </c>
      <c r="C110" s="67">
        <v>4</v>
      </c>
      <c r="D110" s="13" t="s">
        <v>391</v>
      </c>
      <c r="E110" s="58">
        <v>20</v>
      </c>
      <c r="F110" s="58">
        <v>11</v>
      </c>
      <c r="G110" s="61">
        <f t="shared" si="16"/>
        <v>0</v>
      </c>
      <c r="H110" s="13">
        <f t="shared" si="17"/>
        <v>0</v>
      </c>
      <c r="I110" s="13">
        <f t="shared" si="18"/>
        <v>0</v>
      </c>
      <c r="J110" s="59">
        <f t="shared" si="19"/>
        <v>0</v>
      </c>
    </row>
    <row r="111" spans="2:10" hidden="1" x14ac:dyDescent="0.25">
      <c r="B111" s="58" t="str">
        <f t="shared" si="15"/>
        <v>&lt;Nome curto / apelido / código do projeto &gt;</v>
      </c>
      <c r="C111" s="67">
        <v>5</v>
      </c>
      <c r="D111" s="13" t="s">
        <v>392</v>
      </c>
      <c r="E111" s="58">
        <v>20</v>
      </c>
      <c r="F111" s="58">
        <v>13</v>
      </c>
      <c r="G111" s="61">
        <f t="shared" si="16"/>
        <v>0</v>
      </c>
      <c r="H111" s="13">
        <f t="shared" si="17"/>
        <v>0</v>
      </c>
      <c r="I111" s="13">
        <f t="shared" si="18"/>
        <v>0</v>
      </c>
      <c r="J111" s="59">
        <f t="shared" si="19"/>
        <v>0</v>
      </c>
    </row>
    <row r="112" spans="2:10" hidden="1" x14ac:dyDescent="0.25">
      <c r="B112" s="58" t="str">
        <f t="shared" si="15"/>
        <v>&lt;Nome curto / apelido / código do projeto &gt;</v>
      </c>
      <c r="C112" s="67">
        <v>6</v>
      </c>
      <c r="D112" s="13" t="s">
        <v>393</v>
      </c>
      <c r="E112" s="58">
        <v>20</v>
      </c>
      <c r="F112" s="58">
        <v>15</v>
      </c>
      <c r="G112" s="61">
        <f t="shared" si="16"/>
        <v>0</v>
      </c>
      <c r="H112" s="13">
        <f t="shared" si="17"/>
        <v>0</v>
      </c>
      <c r="I112" s="13">
        <f t="shared" si="18"/>
        <v>0</v>
      </c>
      <c r="J112" s="59">
        <f t="shared" si="19"/>
        <v>0</v>
      </c>
    </row>
    <row r="113" spans="2:10" hidden="1" x14ac:dyDescent="0.25">
      <c r="B113" s="58" t="str">
        <f t="shared" si="15"/>
        <v>&lt;Nome curto / apelido / código do projeto &gt;</v>
      </c>
      <c r="C113" s="67">
        <v>7</v>
      </c>
      <c r="D113" s="13" t="s">
        <v>394</v>
      </c>
      <c r="E113" s="58">
        <v>20</v>
      </c>
      <c r="F113" s="58">
        <v>17</v>
      </c>
      <c r="G113" s="61">
        <f t="shared" si="16"/>
        <v>0</v>
      </c>
      <c r="H113" s="13">
        <f t="shared" si="17"/>
        <v>0</v>
      </c>
      <c r="I113" s="13">
        <f t="shared" si="18"/>
        <v>0</v>
      </c>
      <c r="J113" s="59">
        <f t="shared" si="19"/>
        <v>0</v>
      </c>
    </row>
    <row r="114" spans="2:10" x14ac:dyDescent="0.25">
      <c r="B114" s="58" t="str">
        <f t="shared" si="15"/>
        <v>&lt;Nome curto / apelido / código do projeto &gt;</v>
      </c>
      <c r="C114" s="67">
        <v>1</v>
      </c>
      <c r="D114" s="13" t="s">
        <v>276</v>
      </c>
      <c r="E114" s="58">
        <v>4</v>
      </c>
      <c r="F114" s="58">
        <v>5</v>
      </c>
      <c r="G114" s="61" t="str">
        <f t="shared" si="16"/>
        <v>Fulano da Silva</v>
      </c>
      <c r="H114" s="13">
        <f t="shared" si="17"/>
        <v>0</v>
      </c>
      <c r="I114" s="13">
        <f t="shared" si="18"/>
        <v>0</v>
      </c>
      <c r="J114" s="69">
        <f t="shared" si="19"/>
        <v>12345</v>
      </c>
    </row>
    <row r="115" spans="2:10" x14ac:dyDescent="0.25">
      <c r="B115" s="58" t="str">
        <f t="shared" si="15"/>
        <v>&lt;Nome curto / apelido / código do projeto &gt;</v>
      </c>
      <c r="C115" s="67">
        <v>1</v>
      </c>
      <c r="D115" s="13" t="s">
        <v>283</v>
      </c>
      <c r="E115" s="58">
        <v>5</v>
      </c>
      <c r="F115" s="58">
        <v>5</v>
      </c>
      <c r="G115" s="61" t="str">
        <f t="shared" si="16"/>
        <v>Fulano da Silva</v>
      </c>
      <c r="H115" s="13">
        <f t="shared" si="17"/>
        <v>0</v>
      </c>
      <c r="I115" s="13">
        <f t="shared" si="18"/>
        <v>0</v>
      </c>
      <c r="J115" s="69">
        <f t="shared" si="19"/>
        <v>12345</v>
      </c>
    </row>
    <row r="116" spans="2:10" x14ac:dyDescent="0.25">
      <c r="B116" s="58" t="str">
        <f t="shared" si="15"/>
        <v>&lt;Nome curto / apelido / código do projeto &gt;</v>
      </c>
      <c r="C116" s="67">
        <v>1</v>
      </c>
      <c r="D116" s="13" t="s">
        <v>290</v>
      </c>
      <c r="E116" s="58">
        <v>6</v>
      </c>
      <c r="F116" s="58">
        <v>5</v>
      </c>
      <c r="G116" s="61" t="str">
        <f t="shared" si="16"/>
        <v>Fulano da Silva</v>
      </c>
      <c r="H116" s="13">
        <f t="shared" si="17"/>
        <v>0</v>
      </c>
      <c r="I116" s="13">
        <f t="shared" si="18"/>
        <v>0</v>
      </c>
      <c r="J116" s="69">
        <f t="shared" si="19"/>
        <v>12345</v>
      </c>
    </row>
    <row r="117" spans="2:10" x14ac:dyDescent="0.25">
      <c r="B117" s="58" t="str">
        <f t="shared" si="15"/>
        <v>&lt;Nome curto / apelido / código do projeto &gt;</v>
      </c>
      <c r="C117" s="67">
        <v>1</v>
      </c>
      <c r="D117" s="13" t="s">
        <v>297</v>
      </c>
      <c r="E117" s="58">
        <v>7</v>
      </c>
      <c r="F117" s="58">
        <v>5</v>
      </c>
      <c r="G117" s="61" t="str">
        <f t="shared" si="16"/>
        <v>Fulano da Silva</v>
      </c>
      <c r="H117" s="13">
        <f t="shared" si="17"/>
        <v>0</v>
      </c>
      <c r="I117" s="13">
        <f t="shared" si="18"/>
        <v>0</v>
      </c>
      <c r="J117" s="69">
        <f t="shared" si="19"/>
        <v>12345</v>
      </c>
    </row>
    <row r="118" spans="2:10" x14ac:dyDescent="0.25">
      <c r="B118" s="58" t="str">
        <f t="shared" si="15"/>
        <v>&lt;Nome curto / apelido / código do projeto &gt;</v>
      </c>
      <c r="C118" s="67">
        <v>1</v>
      </c>
      <c r="D118" s="13" t="s">
        <v>304</v>
      </c>
      <c r="E118" s="58">
        <v>8</v>
      </c>
      <c r="F118" s="58">
        <v>5</v>
      </c>
      <c r="G118" s="61" t="str">
        <f t="shared" si="16"/>
        <v>Fulano da Silva</v>
      </c>
      <c r="H118" s="13">
        <f t="shared" si="17"/>
        <v>0</v>
      </c>
      <c r="I118" s="13">
        <f t="shared" si="18"/>
        <v>0</v>
      </c>
      <c r="J118" s="69">
        <f t="shared" si="19"/>
        <v>12345</v>
      </c>
    </row>
    <row r="119" spans="2:10" x14ac:dyDescent="0.25">
      <c r="B119" s="58" t="str">
        <f t="shared" si="15"/>
        <v>&lt;Nome curto / apelido / código do projeto &gt;</v>
      </c>
      <c r="C119" s="67">
        <v>1</v>
      </c>
      <c r="D119" s="13" t="s">
        <v>311</v>
      </c>
      <c r="E119" s="58">
        <v>9</v>
      </c>
      <c r="F119" s="58">
        <v>5</v>
      </c>
      <c r="G119" s="61" t="str">
        <f t="shared" si="16"/>
        <v>Fulano da Silva</v>
      </c>
      <c r="H119" s="13">
        <f t="shared" si="17"/>
        <v>0</v>
      </c>
      <c r="I119" s="13">
        <f t="shared" si="18"/>
        <v>0</v>
      </c>
      <c r="J119" s="69">
        <f t="shared" si="19"/>
        <v>12345</v>
      </c>
    </row>
    <row r="120" spans="2:10" x14ac:dyDescent="0.25">
      <c r="B120" s="58" t="str">
        <f t="shared" si="15"/>
        <v>&lt;Nome curto / apelido / código do projeto &gt;</v>
      </c>
      <c r="C120" s="67">
        <v>1</v>
      </c>
      <c r="D120" s="13" t="s">
        <v>318</v>
      </c>
      <c r="E120" s="58">
        <v>10</v>
      </c>
      <c r="F120" s="58">
        <v>5</v>
      </c>
      <c r="G120" s="61" t="str">
        <f t="shared" si="16"/>
        <v>Fulano da Silva</v>
      </c>
      <c r="H120" s="13">
        <f t="shared" si="17"/>
        <v>0</v>
      </c>
      <c r="I120" s="13">
        <f t="shared" si="18"/>
        <v>0</v>
      </c>
      <c r="J120" s="69">
        <f t="shared" si="19"/>
        <v>12345</v>
      </c>
    </row>
    <row r="121" spans="2:10" x14ac:dyDescent="0.25">
      <c r="B121" s="58" t="str">
        <f t="shared" si="15"/>
        <v>&lt;Nome curto / apelido / código do projeto &gt;</v>
      </c>
      <c r="C121" s="67">
        <v>1</v>
      </c>
      <c r="D121" s="13" t="s">
        <v>346</v>
      </c>
      <c r="E121" s="58">
        <v>14</v>
      </c>
      <c r="F121" s="58">
        <v>5</v>
      </c>
      <c r="G121" s="61" t="str">
        <f t="shared" si="16"/>
        <v>Fulano da Silva</v>
      </c>
      <c r="H121" s="13">
        <f t="shared" si="17"/>
        <v>0</v>
      </c>
      <c r="I121" s="13">
        <f t="shared" si="18"/>
        <v>0</v>
      </c>
      <c r="J121" s="69">
        <f t="shared" si="19"/>
        <v>12345</v>
      </c>
    </row>
    <row r="122" spans="2:10" x14ac:dyDescent="0.25">
      <c r="B122" s="58" t="str">
        <f t="shared" si="15"/>
        <v>&lt;Nome curto / apelido / código do projeto &gt;</v>
      </c>
      <c r="C122" s="67">
        <v>1</v>
      </c>
      <c r="D122" s="13" t="s">
        <v>353</v>
      </c>
      <c r="E122" s="58">
        <v>15</v>
      </c>
      <c r="F122" s="58">
        <v>5</v>
      </c>
      <c r="G122" s="61" t="str">
        <f t="shared" si="16"/>
        <v>Fulano da Silva</v>
      </c>
      <c r="H122" s="13">
        <f t="shared" si="17"/>
        <v>0</v>
      </c>
      <c r="I122" s="13">
        <f t="shared" si="18"/>
        <v>0</v>
      </c>
      <c r="J122" s="69">
        <f t="shared" si="19"/>
        <v>12345</v>
      </c>
    </row>
    <row r="123" spans="2:10" x14ac:dyDescent="0.25">
      <c r="B123" s="58" t="str">
        <f t="shared" si="15"/>
        <v>&lt;Nome curto / apelido / código do projeto &gt;</v>
      </c>
      <c r="C123" s="67">
        <v>1</v>
      </c>
      <c r="D123" s="13" t="s">
        <v>360</v>
      </c>
      <c r="E123" s="58">
        <v>16</v>
      </c>
      <c r="F123" s="58">
        <v>5</v>
      </c>
      <c r="G123" s="61" t="str">
        <f t="shared" si="16"/>
        <v>Fulano da Silva</v>
      </c>
      <c r="H123" s="13">
        <f t="shared" si="17"/>
        <v>0</v>
      </c>
      <c r="I123" s="13">
        <f t="shared" si="18"/>
        <v>0</v>
      </c>
      <c r="J123" s="69">
        <f t="shared" si="19"/>
        <v>12345</v>
      </c>
    </row>
    <row r="124" spans="2:10" x14ac:dyDescent="0.25">
      <c r="B124" s="58" t="str">
        <f t="shared" si="15"/>
        <v>&lt;Nome curto / apelido / código do projeto &gt;</v>
      </c>
      <c r="C124" s="67">
        <v>1</v>
      </c>
      <c r="D124" s="13" t="s">
        <v>367</v>
      </c>
      <c r="E124" s="58">
        <v>17</v>
      </c>
      <c r="F124" s="58">
        <v>5</v>
      </c>
      <c r="G124" s="61" t="str">
        <f t="shared" si="16"/>
        <v>Fulano da Silva</v>
      </c>
      <c r="H124" s="13">
        <f t="shared" si="17"/>
        <v>0</v>
      </c>
      <c r="I124" s="13">
        <f t="shared" si="18"/>
        <v>0</v>
      </c>
      <c r="J124" s="69">
        <f t="shared" si="19"/>
        <v>12345</v>
      </c>
    </row>
    <row r="125" spans="2:10" x14ac:dyDescent="0.25">
      <c r="B125" s="58" t="str">
        <f t="shared" si="15"/>
        <v>&lt;Nome curto / apelido / código do projeto &gt;</v>
      </c>
      <c r="C125" s="67">
        <v>1</v>
      </c>
      <c r="D125" s="13" t="s">
        <v>374</v>
      </c>
      <c r="E125" s="58">
        <v>18</v>
      </c>
      <c r="F125" s="58">
        <v>5</v>
      </c>
      <c r="G125" s="61" t="str">
        <f t="shared" si="16"/>
        <v>Fulano da Silva</v>
      </c>
      <c r="H125" s="13">
        <f t="shared" si="17"/>
        <v>0</v>
      </c>
      <c r="I125" s="13">
        <f t="shared" si="18"/>
        <v>0</v>
      </c>
      <c r="J125" s="69">
        <f t="shared" si="19"/>
        <v>12345</v>
      </c>
    </row>
    <row r="126" spans="2:10" x14ac:dyDescent="0.25">
      <c r="B126" s="58" t="str">
        <f t="shared" si="15"/>
        <v>&lt;Nome curto / apelido / código do projeto &gt;</v>
      </c>
      <c r="C126" s="67">
        <v>1</v>
      </c>
      <c r="D126" s="13" t="s">
        <v>381</v>
      </c>
      <c r="E126" s="58">
        <v>19</v>
      </c>
      <c r="F126" s="58">
        <v>5</v>
      </c>
      <c r="G126" s="61" t="str">
        <f t="shared" si="16"/>
        <v>Fulano da Silva</v>
      </c>
      <c r="H126" s="13">
        <f t="shared" si="17"/>
        <v>0</v>
      </c>
      <c r="I126" s="13">
        <f t="shared" si="18"/>
        <v>0</v>
      </c>
      <c r="J126" s="69">
        <f t="shared" si="19"/>
        <v>12345</v>
      </c>
    </row>
    <row r="127" spans="2:10" x14ac:dyDescent="0.25">
      <c r="B127" s="58" t="str">
        <f t="shared" si="15"/>
        <v>&lt;Nome curto / apelido / código do projeto &gt;</v>
      </c>
      <c r="C127" s="67">
        <v>1</v>
      </c>
      <c r="D127" s="13" t="s">
        <v>388</v>
      </c>
      <c r="E127" s="58">
        <v>20</v>
      </c>
      <c r="F127" s="58">
        <v>5</v>
      </c>
      <c r="G127" s="61" t="str">
        <f t="shared" si="16"/>
        <v>Fulano da Silva</v>
      </c>
      <c r="H127" s="13">
        <f t="shared" si="17"/>
        <v>0</v>
      </c>
      <c r="I127" s="13">
        <f t="shared" si="18"/>
        <v>0</v>
      </c>
      <c r="J127" s="69">
        <f t="shared" si="19"/>
        <v>12345</v>
      </c>
    </row>
    <row r="128" spans="2:10" hidden="1" x14ac:dyDescent="0.25">
      <c r="B128" s="58" t="str">
        <f t="shared" si="15"/>
        <v>teste</v>
      </c>
      <c r="C128" s="67">
        <v>6</v>
      </c>
      <c r="D128" s="13" t="s">
        <v>267</v>
      </c>
      <c r="E128" s="58">
        <v>2</v>
      </c>
      <c r="F128" s="58">
        <v>15</v>
      </c>
      <c r="G128" s="61">
        <f t="shared" si="16"/>
        <v>0</v>
      </c>
      <c r="H128" s="13">
        <f t="shared" si="17"/>
        <v>43497</v>
      </c>
      <c r="I128" s="13">
        <f t="shared" si="18"/>
        <v>43708</v>
      </c>
      <c r="J128" s="59">
        <f t="shared" si="19"/>
        <v>0</v>
      </c>
    </row>
    <row r="129" spans="2:10" hidden="1" x14ac:dyDescent="0.25">
      <c r="B129" s="58" t="str">
        <f t="shared" si="15"/>
        <v>teste</v>
      </c>
      <c r="C129" s="67">
        <v>7</v>
      </c>
      <c r="D129" s="13" t="s">
        <v>268</v>
      </c>
      <c r="E129" s="58">
        <v>2</v>
      </c>
      <c r="F129" s="58">
        <v>17</v>
      </c>
      <c r="G129" s="61">
        <f t="shared" si="16"/>
        <v>0</v>
      </c>
      <c r="H129" s="13">
        <f t="shared" si="17"/>
        <v>43497</v>
      </c>
      <c r="I129" s="13">
        <f t="shared" si="18"/>
        <v>43708</v>
      </c>
      <c r="J129" s="59">
        <f t="shared" si="19"/>
        <v>0</v>
      </c>
    </row>
    <row r="130" spans="2:10" hidden="1" x14ac:dyDescent="0.25">
      <c r="B130" s="58" t="str">
        <f t="shared" ref="B130:B141" si="20">INDEX(projetos,E130,1)</f>
        <v>teste</v>
      </c>
      <c r="C130" s="67">
        <v>5</v>
      </c>
      <c r="D130" s="13" t="s">
        <v>273</v>
      </c>
      <c r="E130" s="58">
        <v>3</v>
      </c>
      <c r="F130" s="58">
        <v>13</v>
      </c>
      <c r="G130" s="61">
        <f t="shared" ref="G130:G161" si="21">INDEX(projetos,E130,F130)</f>
        <v>0</v>
      </c>
      <c r="H130" s="13">
        <f t="shared" ref="H130:H141" si="22">INDEX(projetos,E130,3)</f>
        <v>43497</v>
      </c>
      <c r="I130" s="13">
        <f t="shared" ref="I130:I141" si="23">INDEX(projetos,E130,4)</f>
        <v>43708</v>
      </c>
      <c r="J130" s="59">
        <f t="shared" ref="J130:J141" si="24">INDEX(projetos,E130,F130+1)</f>
        <v>0</v>
      </c>
    </row>
    <row r="131" spans="2:10" hidden="1" x14ac:dyDescent="0.25">
      <c r="B131" s="58" t="str">
        <f t="shared" si="20"/>
        <v>teste</v>
      </c>
      <c r="C131" s="67">
        <v>6</v>
      </c>
      <c r="D131" s="13" t="s">
        <v>274</v>
      </c>
      <c r="E131" s="58">
        <v>3</v>
      </c>
      <c r="F131" s="58">
        <v>15</v>
      </c>
      <c r="G131" s="61">
        <f t="shared" si="21"/>
        <v>0</v>
      </c>
      <c r="H131" s="13">
        <f t="shared" si="22"/>
        <v>43497</v>
      </c>
      <c r="I131" s="13">
        <f t="shared" si="23"/>
        <v>43708</v>
      </c>
      <c r="J131" s="59">
        <f t="shared" si="24"/>
        <v>0</v>
      </c>
    </row>
    <row r="132" spans="2:10" hidden="1" x14ac:dyDescent="0.25">
      <c r="B132" s="58" t="str">
        <f t="shared" si="20"/>
        <v>teste</v>
      </c>
      <c r="C132" s="67">
        <v>7</v>
      </c>
      <c r="D132" s="13" t="s">
        <v>275</v>
      </c>
      <c r="E132" s="58">
        <v>3</v>
      </c>
      <c r="F132" s="58">
        <v>17</v>
      </c>
      <c r="G132" s="61">
        <f t="shared" si="21"/>
        <v>0</v>
      </c>
      <c r="H132" s="13">
        <f t="shared" si="22"/>
        <v>43497</v>
      </c>
      <c r="I132" s="13">
        <f t="shared" si="23"/>
        <v>43708</v>
      </c>
      <c r="J132" s="59">
        <f t="shared" si="24"/>
        <v>0</v>
      </c>
    </row>
    <row r="133" spans="2:10" hidden="1" x14ac:dyDescent="0.25">
      <c r="B133" s="58" t="str">
        <f t="shared" si="20"/>
        <v>teste</v>
      </c>
      <c r="C133" s="67">
        <v>2</v>
      </c>
      <c r="D133" s="13" t="s">
        <v>270</v>
      </c>
      <c r="E133" s="58">
        <v>3</v>
      </c>
      <c r="F133" s="58">
        <v>7</v>
      </c>
      <c r="G133" s="61">
        <f t="shared" si="21"/>
        <v>0</v>
      </c>
      <c r="H133" s="13">
        <f t="shared" si="22"/>
        <v>43497</v>
      </c>
      <c r="I133" s="13">
        <f t="shared" si="23"/>
        <v>43708</v>
      </c>
      <c r="J133" s="69">
        <f t="shared" si="24"/>
        <v>0</v>
      </c>
    </row>
    <row r="134" spans="2:10" hidden="1" x14ac:dyDescent="0.25">
      <c r="B134" s="58" t="str">
        <f t="shared" si="20"/>
        <v>teste</v>
      </c>
      <c r="C134" s="67">
        <v>4</v>
      </c>
      <c r="D134" s="13" t="s">
        <v>265</v>
      </c>
      <c r="E134" s="58">
        <v>2</v>
      </c>
      <c r="F134" s="58">
        <v>11</v>
      </c>
      <c r="G134" s="61">
        <f t="shared" si="21"/>
        <v>0</v>
      </c>
      <c r="H134" s="13">
        <f t="shared" si="22"/>
        <v>43497</v>
      </c>
      <c r="I134" s="13">
        <f t="shared" si="23"/>
        <v>43708</v>
      </c>
      <c r="J134" s="69">
        <f t="shared" si="24"/>
        <v>0</v>
      </c>
    </row>
    <row r="135" spans="2:10" hidden="1" x14ac:dyDescent="0.25">
      <c r="B135" s="58" t="str">
        <f t="shared" si="20"/>
        <v>teste</v>
      </c>
      <c r="C135" s="67">
        <v>4</v>
      </c>
      <c r="D135" s="13" t="s">
        <v>272</v>
      </c>
      <c r="E135" s="58">
        <v>3</v>
      </c>
      <c r="F135" s="58">
        <v>11</v>
      </c>
      <c r="G135" s="61">
        <f t="shared" si="21"/>
        <v>0</v>
      </c>
      <c r="H135" s="13">
        <f t="shared" si="22"/>
        <v>43497</v>
      </c>
      <c r="I135" s="13">
        <f t="shared" si="23"/>
        <v>43708</v>
      </c>
      <c r="J135" s="69">
        <f t="shared" si="24"/>
        <v>0</v>
      </c>
    </row>
    <row r="136" spans="2:10" hidden="1" x14ac:dyDescent="0.25">
      <c r="B136" s="58" t="str">
        <f t="shared" si="20"/>
        <v>teste</v>
      </c>
      <c r="C136" s="67">
        <v>3</v>
      </c>
      <c r="D136" s="13" t="s">
        <v>264</v>
      </c>
      <c r="E136" s="58">
        <v>2</v>
      </c>
      <c r="F136" s="58">
        <v>9</v>
      </c>
      <c r="G136" s="61">
        <f t="shared" si="21"/>
        <v>0</v>
      </c>
      <c r="H136" s="13">
        <f t="shared" si="22"/>
        <v>43497</v>
      </c>
      <c r="I136" s="13">
        <f t="shared" si="23"/>
        <v>43708</v>
      </c>
      <c r="J136" s="69">
        <f t="shared" si="24"/>
        <v>0</v>
      </c>
    </row>
    <row r="137" spans="2:10" hidden="1" x14ac:dyDescent="0.25">
      <c r="B137" s="58" t="str">
        <f t="shared" si="20"/>
        <v>teste</v>
      </c>
      <c r="C137" s="67">
        <v>5</v>
      </c>
      <c r="D137" s="13" t="s">
        <v>266</v>
      </c>
      <c r="E137" s="58">
        <v>2</v>
      </c>
      <c r="F137" s="58">
        <v>13</v>
      </c>
      <c r="G137" s="61">
        <f t="shared" si="21"/>
        <v>0</v>
      </c>
      <c r="H137" s="13">
        <f t="shared" si="22"/>
        <v>43497</v>
      </c>
      <c r="I137" s="13">
        <f t="shared" si="23"/>
        <v>43708</v>
      </c>
      <c r="J137" s="69">
        <f t="shared" si="24"/>
        <v>0</v>
      </c>
    </row>
    <row r="138" spans="2:10" hidden="1" x14ac:dyDescent="0.25">
      <c r="B138" s="58" t="str">
        <f t="shared" si="20"/>
        <v>teste</v>
      </c>
      <c r="C138" s="67">
        <v>2</v>
      </c>
      <c r="D138" s="13" t="s">
        <v>263</v>
      </c>
      <c r="E138" s="58">
        <v>2</v>
      </c>
      <c r="F138" s="58">
        <v>7</v>
      </c>
      <c r="G138" s="61">
        <f t="shared" si="21"/>
        <v>0</v>
      </c>
      <c r="H138" s="13">
        <f t="shared" si="22"/>
        <v>43497</v>
      </c>
      <c r="I138" s="13">
        <f t="shared" si="23"/>
        <v>43708</v>
      </c>
      <c r="J138" s="69">
        <f t="shared" si="24"/>
        <v>0</v>
      </c>
    </row>
    <row r="139" spans="2:10" hidden="1" x14ac:dyDescent="0.25">
      <c r="B139" s="58" t="str">
        <f t="shared" si="20"/>
        <v>teste</v>
      </c>
      <c r="C139" s="67">
        <v>3</v>
      </c>
      <c r="D139" s="13" t="s">
        <v>271</v>
      </c>
      <c r="E139" s="58">
        <v>3</v>
      </c>
      <c r="F139" s="58">
        <v>9</v>
      </c>
      <c r="G139" s="61">
        <f t="shared" si="21"/>
        <v>0</v>
      </c>
      <c r="H139" s="13">
        <f t="shared" si="22"/>
        <v>43497</v>
      </c>
      <c r="I139" s="13">
        <f t="shared" si="23"/>
        <v>43708</v>
      </c>
      <c r="J139" s="69">
        <f t="shared" si="24"/>
        <v>0</v>
      </c>
    </row>
    <row r="140" spans="2:10" x14ac:dyDescent="0.25">
      <c r="B140" s="58" t="str">
        <f t="shared" si="20"/>
        <v>teste</v>
      </c>
      <c r="C140" s="67">
        <v>1</v>
      </c>
      <c r="D140" s="13" t="s">
        <v>262</v>
      </c>
      <c r="E140" s="58">
        <v>2</v>
      </c>
      <c r="F140" s="58">
        <v>5</v>
      </c>
      <c r="G140" s="61" t="str">
        <f t="shared" si="21"/>
        <v>Fulano da Silva</v>
      </c>
      <c r="H140" s="13">
        <f t="shared" si="22"/>
        <v>43497</v>
      </c>
      <c r="I140" s="13">
        <f t="shared" si="23"/>
        <v>43708</v>
      </c>
      <c r="J140" s="69">
        <f t="shared" si="24"/>
        <v>12345</v>
      </c>
    </row>
    <row r="141" spans="2:10" x14ac:dyDescent="0.25">
      <c r="B141" s="58" t="str">
        <f t="shared" si="20"/>
        <v>teste</v>
      </c>
      <c r="C141" s="67">
        <v>1</v>
      </c>
      <c r="D141" s="13" t="s">
        <v>269</v>
      </c>
      <c r="E141" s="58">
        <v>3</v>
      </c>
      <c r="F141" s="58">
        <v>5</v>
      </c>
      <c r="G141" s="61" t="str">
        <f t="shared" si="21"/>
        <v>Fulano da Silva</v>
      </c>
      <c r="H141" s="13">
        <f t="shared" si="22"/>
        <v>43497</v>
      </c>
      <c r="I141" s="13">
        <f t="shared" si="23"/>
        <v>43708</v>
      </c>
      <c r="J141" s="69">
        <f t="shared" si="24"/>
        <v>12345</v>
      </c>
    </row>
    <row r="142" spans="2:10" x14ac:dyDescent="0.25"/>
    <row r="143" spans="2:10" x14ac:dyDescent="0.25"/>
    <row r="144" spans="2:10" x14ac:dyDescent="0.25"/>
    <row r="145" x14ac:dyDescent="0.25"/>
    <row r="146" x14ac:dyDescent="0.25"/>
    <row r="147" x14ac:dyDescent="0.25"/>
    <row r="148" x14ac:dyDescent="0.25"/>
    <row r="149" x14ac:dyDescent="0.25"/>
  </sheetData>
  <sheetProtection algorithmName="SHA-512" hashValue="NxBCTFFJTBtxhRd41qxfrAzP1hMmL9iawrPeTERZ9zlfb7Gn9xHQ72uH0jcf0kIgnrlheOLT9qth801nueMmlQ==" saltValue="hpF1AvEvQ8i8sz+CWT+VNg==" spinCount="100000" sheet="1" objects="1" scenarios="1" sort="0" autoFilter="0"/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9A57E-661C-450A-B950-2021C2E67182}">
  <sheetPr codeName="Planilha24">
    <pageSetUpPr fitToPage="1"/>
  </sheetPr>
  <dimension ref="A1:EI22"/>
  <sheetViews>
    <sheetView showGridLines="0" showZeros="0" zoomScaleNormal="100" workbookViewId="0">
      <selection activeCell="AK4" sqref="AK4"/>
    </sheetView>
  </sheetViews>
  <sheetFormatPr defaultRowHeight="15" x14ac:dyDescent="0.25"/>
  <cols>
    <col min="1" max="1" width="3.85546875" customWidth="1"/>
    <col min="2" max="2" width="10.5703125" customWidth="1"/>
    <col min="3" max="3" width="13.7109375" customWidth="1"/>
    <col min="4" max="4" width="11" customWidth="1"/>
    <col min="5" max="5" width="16.28515625" customWidth="1"/>
    <col min="11" max="13" width="10.42578125" customWidth="1"/>
    <col min="15" max="15" width="11.140625" bestFit="1" customWidth="1"/>
    <col min="31" max="35" width="9.140625" style="12"/>
    <col min="36" max="36" width="9.5703125" style="12" bestFit="1" customWidth="1"/>
    <col min="37" max="40" width="9.140625" style="12"/>
    <col min="42" max="51" width="9.140625" style="12"/>
    <col min="53" max="62" width="9.140625" style="12"/>
    <col min="64" max="73" width="9.140625" style="12"/>
    <col min="75" max="84" width="9.140625" style="12"/>
    <col min="86" max="95" width="9.140625" style="12"/>
    <col min="97" max="106" width="9.140625" style="12"/>
    <col min="108" max="117" width="9.140625" style="12"/>
    <col min="119" max="128" width="9.140625" style="12"/>
    <col min="130" max="139" width="9.140625" style="12"/>
  </cols>
  <sheetData>
    <row r="1" spans="1:139" x14ac:dyDescent="0.25">
      <c r="A1" s="52"/>
      <c r="B1" s="132" t="s">
        <v>1</v>
      </c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1" t="s">
        <v>15</v>
      </c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3" t="s">
        <v>62</v>
      </c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  <c r="BV1" s="133"/>
      <c r="BW1" s="133"/>
      <c r="BX1" s="133"/>
      <c r="BY1" s="133"/>
      <c r="BZ1" s="133"/>
      <c r="CA1" s="133"/>
      <c r="CB1" s="133"/>
      <c r="CC1" s="133"/>
      <c r="CD1" s="133"/>
      <c r="CE1" s="133"/>
      <c r="CF1" s="133"/>
      <c r="CG1" s="133"/>
      <c r="CH1" s="133"/>
      <c r="CI1" s="133"/>
      <c r="CJ1" s="133"/>
      <c r="CK1" s="133"/>
      <c r="CL1" s="133"/>
      <c r="CM1" s="133"/>
      <c r="CN1" s="133"/>
      <c r="CO1" s="133"/>
      <c r="CP1" s="133"/>
      <c r="CQ1" s="133"/>
      <c r="CR1" s="133"/>
      <c r="CS1" s="133"/>
      <c r="CT1" s="133"/>
      <c r="CU1" s="133"/>
      <c r="CV1" s="133"/>
      <c r="CW1" s="133"/>
      <c r="CX1" s="133"/>
      <c r="CY1" s="133"/>
      <c r="CZ1" s="133"/>
      <c r="DA1" s="133"/>
      <c r="DB1" s="133"/>
      <c r="DC1" s="133"/>
      <c r="DD1" s="133"/>
      <c r="DE1" s="133"/>
      <c r="DF1" s="133"/>
      <c r="DG1" s="133"/>
      <c r="DH1" s="133"/>
      <c r="DI1" s="133"/>
      <c r="DJ1" s="133"/>
      <c r="DK1" s="133"/>
      <c r="DL1" s="133"/>
      <c r="DM1" s="133"/>
      <c r="DN1" s="133"/>
      <c r="DO1" s="133"/>
      <c r="DP1" s="133"/>
      <c r="DQ1" s="133"/>
      <c r="DR1" s="133"/>
      <c r="DS1" s="133"/>
      <c r="DT1" s="133"/>
      <c r="DU1" s="133"/>
      <c r="DV1" s="133"/>
      <c r="DW1" s="133"/>
      <c r="DX1" s="133"/>
      <c r="DY1" s="133"/>
      <c r="DZ1" s="133"/>
      <c r="EA1" s="133"/>
      <c r="EB1" s="133"/>
      <c r="EC1" s="133"/>
      <c r="ED1" s="133"/>
      <c r="EE1" s="133"/>
      <c r="EF1" s="133"/>
      <c r="EG1" s="133"/>
      <c r="EH1" s="133"/>
      <c r="EI1" s="133"/>
    </row>
    <row r="2" spans="1:139" x14ac:dyDescent="0.25">
      <c r="A2" s="52" t="s">
        <v>246</v>
      </c>
      <c r="B2" t="s">
        <v>46</v>
      </c>
      <c r="C2" t="s">
        <v>47</v>
      </c>
      <c r="D2" t="s">
        <v>61</v>
      </c>
      <c r="E2" t="s">
        <v>48</v>
      </c>
      <c r="F2" t="s">
        <v>106</v>
      </c>
      <c r="G2" t="s">
        <v>107</v>
      </c>
      <c r="H2" t="s">
        <v>108</v>
      </c>
      <c r="I2" t="s">
        <v>109</v>
      </c>
      <c r="J2" t="s">
        <v>110</v>
      </c>
      <c r="K2" t="s">
        <v>49</v>
      </c>
      <c r="L2" t="s">
        <v>406</v>
      </c>
      <c r="M2" t="s">
        <v>246</v>
      </c>
      <c r="N2" t="s">
        <v>50</v>
      </c>
      <c r="O2" t="s">
        <v>51</v>
      </c>
      <c r="P2" t="s">
        <v>52</v>
      </c>
      <c r="Q2" t="s">
        <v>187</v>
      </c>
      <c r="R2" t="s">
        <v>53</v>
      </c>
      <c r="S2" t="s">
        <v>188</v>
      </c>
      <c r="T2" t="s">
        <v>54</v>
      </c>
      <c r="U2" t="s">
        <v>189</v>
      </c>
      <c r="V2" t="s">
        <v>55</v>
      </c>
      <c r="W2" t="s">
        <v>190</v>
      </c>
      <c r="X2" t="s">
        <v>56</v>
      </c>
      <c r="Y2" t="s">
        <v>191</v>
      </c>
      <c r="Z2" t="s">
        <v>57</v>
      </c>
      <c r="AA2" t="s">
        <v>192</v>
      </c>
      <c r="AB2" t="s">
        <v>58</v>
      </c>
      <c r="AC2" s="12" t="s">
        <v>193</v>
      </c>
      <c r="AD2" t="s">
        <v>63</v>
      </c>
      <c r="AE2" s="12" t="s">
        <v>83</v>
      </c>
      <c r="AF2" s="12" t="s">
        <v>84</v>
      </c>
      <c r="AG2" s="12" t="s">
        <v>132</v>
      </c>
      <c r="AH2" s="12" t="s">
        <v>134</v>
      </c>
      <c r="AI2" s="12" t="s">
        <v>135</v>
      </c>
      <c r="AJ2" s="12" t="s">
        <v>196</v>
      </c>
      <c r="AK2" s="12" t="s">
        <v>197</v>
      </c>
      <c r="AL2" s="12" t="s">
        <v>198</v>
      </c>
      <c r="AM2" s="12" t="s">
        <v>199</v>
      </c>
      <c r="AN2" s="12" t="s">
        <v>200</v>
      </c>
      <c r="AO2" t="s">
        <v>64</v>
      </c>
      <c r="AP2" s="12" t="s">
        <v>85</v>
      </c>
      <c r="AQ2" s="12" t="s">
        <v>86</v>
      </c>
      <c r="AR2" s="12" t="s">
        <v>133</v>
      </c>
      <c r="AS2" s="12" t="s">
        <v>161</v>
      </c>
      <c r="AT2" s="12" t="s">
        <v>162</v>
      </c>
      <c r="AU2" s="12" t="s">
        <v>201</v>
      </c>
      <c r="AV2" s="12" t="s">
        <v>202</v>
      </c>
      <c r="AW2" s="12" t="s">
        <v>203</v>
      </c>
      <c r="AX2" s="12" t="s">
        <v>204</v>
      </c>
      <c r="AY2" s="12" t="s">
        <v>205</v>
      </c>
      <c r="AZ2" t="s">
        <v>65</v>
      </c>
      <c r="BA2" s="12" t="s">
        <v>87</v>
      </c>
      <c r="BB2" s="12" t="s">
        <v>88</v>
      </c>
      <c r="BC2" s="12" t="s">
        <v>163</v>
      </c>
      <c r="BD2" s="12" t="s">
        <v>164</v>
      </c>
      <c r="BE2" s="12" t="s">
        <v>165</v>
      </c>
      <c r="BF2" s="12" t="s">
        <v>206</v>
      </c>
      <c r="BG2" s="12" t="s">
        <v>207</v>
      </c>
      <c r="BH2" s="12" t="s">
        <v>208</v>
      </c>
      <c r="BI2" s="12" t="s">
        <v>209</v>
      </c>
      <c r="BJ2" s="12" t="s">
        <v>210</v>
      </c>
      <c r="BK2" t="s">
        <v>66</v>
      </c>
      <c r="BL2" s="12" t="s">
        <v>89</v>
      </c>
      <c r="BM2" s="12" t="s">
        <v>90</v>
      </c>
      <c r="BN2" s="12" t="s">
        <v>166</v>
      </c>
      <c r="BO2" s="12" t="s">
        <v>168</v>
      </c>
      <c r="BP2" s="12" t="s">
        <v>167</v>
      </c>
      <c r="BQ2" s="12" t="s">
        <v>211</v>
      </c>
      <c r="BR2" s="12" t="s">
        <v>212</v>
      </c>
      <c r="BS2" s="12" t="s">
        <v>213</v>
      </c>
      <c r="BT2" s="12" t="s">
        <v>214</v>
      </c>
      <c r="BU2" s="12" t="s">
        <v>215</v>
      </c>
      <c r="BV2" t="s">
        <v>67</v>
      </c>
      <c r="BW2" s="12" t="s">
        <v>91</v>
      </c>
      <c r="BX2" s="12" t="s">
        <v>92</v>
      </c>
      <c r="BY2" s="12" t="s">
        <v>169</v>
      </c>
      <c r="BZ2" s="12" t="s">
        <v>170</v>
      </c>
      <c r="CA2" s="12" t="s">
        <v>171</v>
      </c>
      <c r="CB2" s="12" t="s">
        <v>216</v>
      </c>
      <c r="CC2" s="12" t="s">
        <v>217</v>
      </c>
      <c r="CD2" s="12" t="s">
        <v>218</v>
      </c>
      <c r="CE2" s="12" t="s">
        <v>219</v>
      </c>
      <c r="CF2" s="12" t="s">
        <v>220</v>
      </c>
      <c r="CG2" t="s">
        <v>68</v>
      </c>
      <c r="CH2" s="12" t="s">
        <v>93</v>
      </c>
      <c r="CI2" s="12" t="s">
        <v>94</v>
      </c>
      <c r="CJ2" s="12" t="s">
        <v>172</v>
      </c>
      <c r="CK2" s="12" t="s">
        <v>173</v>
      </c>
      <c r="CL2" s="12" t="s">
        <v>174</v>
      </c>
      <c r="CM2" s="12" t="s">
        <v>221</v>
      </c>
      <c r="CN2" s="12" t="s">
        <v>222</v>
      </c>
      <c r="CO2" s="12" t="s">
        <v>223</v>
      </c>
      <c r="CP2" s="12" t="s">
        <v>224</v>
      </c>
      <c r="CQ2" s="12" t="s">
        <v>225</v>
      </c>
      <c r="CR2" t="s">
        <v>69</v>
      </c>
      <c r="CS2" s="12" t="s">
        <v>95</v>
      </c>
      <c r="CT2" s="12" t="s">
        <v>96</v>
      </c>
      <c r="CU2" s="12" t="s">
        <v>175</v>
      </c>
      <c r="CV2" s="12" t="s">
        <v>176</v>
      </c>
      <c r="CW2" s="12" t="s">
        <v>177</v>
      </c>
      <c r="CX2" s="12" t="s">
        <v>226</v>
      </c>
      <c r="CY2" s="12" t="s">
        <v>227</v>
      </c>
      <c r="CZ2" s="12" t="s">
        <v>228</v>
      </c>
      <c r="DA2" s="12" t="s">
        <v>229</v>
      </c>
      <c r="DB2" s="12" t="s">
        <v>230</v>
      </c>
      <c r="DC2" t="s">
        <v>70</v>
      </c>
      <c r="DD2" s="12" t="s">
        <v>97</v>
      </c>
      <c r="DE2" s="12" t="s">
        <v>98</v>
      </c>
      <c r="DF2" s="12" t="s">
        <v>178</v>
      </c>
      <c r="DG2" s="12" t="s">
        <v>179</v>
      </c>
      <c r="DH2" s="12" t="s">
        <v>180</v>
      </c>
      <c r="DI2" s="12" t="s">
        <v>231</v>
      </c>
      <c r="DJ2" s="12" t="s">
        <v>232</v>
      </c>
      <c r="DK2" s="12" t="s">
        <v>233</v>
      </c>
      <c r="DL2" s="12" t="s">
        <v>234</v>
      </c>
      <c r="DM2" s="12" t="s">
        <v>235</v>
      </c>
      <c r="DN2" t="s">
        <v>71</v>
      </c>
      <c r="DO2" s="12" t="s">
        <v>99</v>
      </c>
      <c r="DP2" s="12" t="s">
        <v>100</v>
      </c>
      <c r="DQ2" s="12" t="s">
        <v>181</v>
      </c>
      <c r="DR2" s="12" t="s">
        <v>182</v>
      </c>
      <c r="DS2" s="12" t="s">
        <v>183</v>
      </c>
      <c r="DT2" s="12" t="s">
        <v>236</v>
      </c>
      <c r="DU2" s="12" t="s">
        <v>237</v>
      </c>
      <c r="DV2" s="12" t="s">
        <v>238</v>
      </c>
      <c r="DW2" s="12" t="s">
        <v>239</v>
      </c>
      <c r="DX2" s="12" t="s">
        <v>240</v>
      </c>
      <c r="DY2" t="s">
        <v>82</v>
      </c>
      <c r="DZ2" s="12" t="s">
        <v>101</v>
      </c>
      <c r="EA2" s="12" t="s">
        <v>102</v>
      </c>
      <c r="EB2" s="12" t="s">
        <v>184</v>
      </c>
      <c r="EC2" s="12" t="s">
        <v>185</v>
      </c>
      <c r="ED2" s="12" t="s">
        <v>186</v>
      </c>
      <c r="EE2" s="12" t="s">
        <v>241</v>
      </c>
      <c r="EF2" s="12" t="s">
        <v>242</v>
      </c>
      <c r="EG2" s="12" t="s">
        <v>243</v>
      </c>
      <c r="EH2" s="12" t="s">
        <v>244</v>
      </c>
      <c r="EI2" s="12" t="s">
        <v>245</v>
      </c>
    </row>
    <row r="3" spans="1:139" hidden="1" x14ac:dyDescent="0.25">
      <c r="A3" s="52">
        <v>1</v>
      </c>
      <c r="B3" t="str">
        <f>'1'!$H$8</f>
        <v>Diret</v>
      </c>
      <c r="C3" t="str">
        <f>'1'!$R$8</f>
        <v>Coord</v>
      </c>
      <c r="D3" t="str">
        <f>'1'!$Z$8</f>
        <v>00190.102150/2019-85</v>
      </c>
      <c r="E3" t="str">
        <f>'1'!$H$6</f>
        <v>#102070</v>
      </c>
      <c r="F3" t="str">
        <f>'1'!$H$7</f>
        <v>5.4</v>
      </c>
      <c r="G3" t="str">
        <f>'1'!$M$7</f>
        <v>6.3</v>
      </c>
      <c r="H3">
        <f>'1'!$R$7</f>
        <v>0</v>
      </c>
      <c r="I3">
        <f>'1'!$X$7</f>
        <v>0</v>
      </c>
      <c r="J3">
        <f>'1'!$AD$7</f>
        <v>0</v>
      </c>
      <c r="K3" t="str">
        <f>'1'!$H$10</f>
        <v>&lt; servidor com a responsabilidade de planejar e controlar a execução do projeto &gt;</v>
      </c>
      <c r="L3" t="str">
        <f>'1'!$H$6</f>
        <v>#102070</v>
      </c>
      <c r="M3">
        <f t="shared" ref="M3:M22" si="0">ROW(A1)</f>
        <v>1</v>
      </c>
      <c r="N3" s="12">
        <f>'1'!$H$11</f>
        <v>43466</v>
      </c>
      <c r="O3" s="13">
        <f>'1'!$AB$11</f>
        <v>43708</v>
      </c>
      <c r="P3" t="str">
        <f>'1'!$I$12</f>
        <v>Fulano da Silva</v>
      </c>
      <c r="Q3">
        <f>'1'!$AD$12</f>
        <v>12345</v>
      </c>
      <c r="R3">
        <f>'1'!$I$13</f>
        <v>0</v>
      </c>
      <c r="S3">
        <f>'1'!$AD$13</f>
        <v>32156</v>
      </c>
      <c r="T3" t="str">
        <f>'1'!$I$14</f>
        <v>ciclano</v>
      </c>
      <c r="U3">
        <f>'1'!$AD$14</f>
        <v>23456</v>
      </c>
      <c r="V3" t="str">
        <f>'1'!$I$15</f>
        <v>zé</v>
      </c>
      <c r="W3">
        <f>'1'!$AD$15</f>
        <v>76556</v>
      </c>
      <c r="X3" t="str">
        <f>'1'!$I$16</f>
        <v>carro</v>
      </c>
      <c r="Y3">
        <f>'1'!$AD$16</f>
        <v>34533</v>
      </c>
      <c r="Z3" t="str">
        <f>'1'!$I$17</f>
        <v>bola</v>
      </c>
      <c r="AA3">
        <f>'1'!$AD$17</f>
        <v>34454</v>
      </c>
      <c r="AB3" t="str">
        <f>'1'!$I$18</f>
        <v>mané</v>
      </c>
      <c r="AC3">
        <f>'1'!$AD$18</f>
        <v>34534</v>
      </c>
      <c r="AD3" t="str">
        <f>'1'!$B$32</f>
        <v>Planejamento Inicial - TAP</v>
      </c>
      <c r="AE3" s="12">
        <f>'1'!$Z$32</f>
        <v>43647</v>
      </c>
      <c r="AF3" s="12">
        <f>'1'!$AD$32</f>
        <v>43661</v>
      </c>
      <c r="AG3" s="12">
        <f>MonitorProjetos!K6</f>
        <v>0</v>
      </c>
      <c r="AH3" s="12">
        <f>MonitorProjetos!L6</f>
        <v>0</v>
      </c>
      <c r="AI3" s="12">
        <f>MonitorProjetos!M6</f>
        <v>0</v>
      </c>
      <c r="AJ3" s="12">
        <f>MonitorProjetos!$G$6</f>
        <v>0</v>
      </c>
      <c r="AK3" s="12" t="str">
        <f ca="1">MonitorProjetos!E6</f>
        <v>Atrasada</v>
      </c>
      <c r="AL3" s="12">
        <f>MonitorProjetos!I6</f>
        <v>0</v>
      </c>
      <c r="AM3" s="12" t="str">
        <f ca="1">MonitorProjetos!J6</f>
        <v/>
      </c>
      <c r="AN3" s="12">
        <f>MonitorProjetos!F6</f>
        <v>0</v>
      </c>
      <c r="AO3" t="str">
        <f>'1'!$B$33</f>
        <v>Levantamento Inicial - Matriz de Planejamento</v>
      </c>
      <c r="AP3" s="12">
        <f>'1'!$Z$33</f>
        <v>43468</v>
      </c>
      <c r="AQ3" s="12">
        <f>'1'!$AD$33</f>
        <v>43687</v>
      </c>
      <c r="AR3" s="12">
        <f>MonitorProjetos!K7</f>
        <v>0</v>
      </c>
      <c r="AS3" s="12">
        <f>MonitorProjetos!L7</f>
        <v>0</v>
      </c>
      <c r="AT3" s="35">
        <f>MonitorProjetos!M7</f>
        <v>0</v>
      </c>
      <c r="AU3" s="35">
        <f>MonitorProjetos!$G$7</f>
        <v>0</v>
      </c>
      <c r="AV3" s="35" t="str">
        <f ca="1">MonitorProjetos!$E$7</f>
        <v>Atrasada</v>
      </c>
      <c r="AW3" s="35">
        <f>MonitorProjetos!$I$7</f>
        <v>0</v>
      </c>
      <c r="AX3" s="35" t="str">
        <f ca="1">MonitorProjetos!$J$7</f>
        <v/>
      </c>
      <c r="AY3" s="35">
        <f>MonitorProjetos!$F$7</f>
        <v>0</v>
      </c>
      <c r="AZ3" t="str">
        <f>'1'!$B$34</f>
        <v>Definição de papéis de trabalho</v>
      </c>
      <c r="BA3" s="12">
        <f>'1'!$Z$34</f>
        <v>43678</v>
      </c>
      <c r="BB3" s="12">
        <f>'1'!$AD$34</f>
        <v>43687</v>
      </c>
      <c r="BC3" s="48">
        <f>MonitorProjetos!K8</f>
        <v>0</v>
      </c>
      <c r="BD3" s="48">
        <f>MonitorProjetos!L8</f>
        <v>0</v>
      </c>
      <c r="BE3" s="48">
        <f>MonitorProjetos!M8</f>
        <v>0</v>
      </c>
      <c r="BF3" s="48">
        <f>MonitorProjetos!$G$8</f>
        <v>0</v>
      </c>
      <c r="BG3" s="48">
        <f>MonitorProjetos!$F$8</f>
        <v>0</v>
      </c>
      <c r="BH3" s="48">
        <f>MonitorProjetos!$I$8</f>
        <v>0</v>
      </c>
      <c r="BI3" s="48" t="str">
        <f ca="1">MonitorProjetos!$J$8</f>
        <v/>
      </c>
      <c r="BJ3" s="48">
        <f>MonitorProjetos!$F$8</f>
        <v>0</v>
      </c>
      <c r="BK3" t="str">
        <f>'1'!$B$35</f>
        <v>Procedimentos</v>
      </c>
      <c r="BL3" s="12">
        <f>'1'!$Z$35</f>
        <v>43692</v>
      </c>
      <c r="BM3" s="12">
        <f>'1'!$AD$35</f>
        <v>43687</v>
      </c>
      <c r="BN3" s="48">
        <f>MonitorProjetos!K9</f>
        <v>0</v>
      </c>
      <c r="BO3" s="48">
        <f>MonitorProjetos!L9</f>
        <v>0</v>
      </c>
      <c r="BP3" s="48">
        <f>MonitorProjetos!M9</f>
        <v>0</v>
      </c>
      <c r="BQ3" s="48">
        <f>MonitorProjetos!$G$9</f>
        <v>0</v>
      </c>
      <c r="BR3" s="48" t="str">
        <f ca="1">MonitorProjetos!$E$9</f>
        <v>Atrasada</v>
      </c>
      <c r="BS3" s="48">
        <f>MonitorProjetos!$I$9</f>
        <v>0</v>
      </c>
      <c r="BT3" s="48" t="str">
        <f ca="1">MonitorProjetos!$J$9</f>
        <v/>
      </c>
      <c r="BU3" s="48">
        <f>MonitorProjetos!$F$9</f>
        <v>0</v>
      </c>
      <c r="BV3" t="str">
        <f>'1'!$B$36</f>
        <v>Análises internas</v>
      </c>
      <c r="BW3" s="12">
        <f>'1'!$Z$36</f>
        <v>43485</v>
      </c>
      <c r="BX3" s="12">
        <f>'1'!$AD$36</f>
        <v>43506</v>
      </c>
      <c r="BY3" s="48">
        <f>MonitorProjetos!K10</f>
        <v>0</v>
      </c>
      <c r="BZ3" s="48">
        <f>MonitorProjetos!L10</f>
        <v>0</v>
      </c>
      <c r="CA3" s="48">
        <f>MonitorProjetos!M10</f>
        <v>0</v>
      </c>
      <c r="CB3" s="48">
        <f>MonitorProjetos!$G$10</f>
        <v>0</v>
      </c>
      <c r="CC3" s="48" t="str">
        <f ca="1">MonitorProjetos!$E$10</f>
        <v>Atrasada</v>
      </c>
      <c r="CD3" s="48">
        <f>MonitorProjetos!$I$10</f>
        <v>0</v>
      </c>
      <c r="CE3" s="48" t="str">
        <f ca="1">MonitorProjetos!$J$10</f>
        <v/>
      </c>
      <c r="CF3" s="48">
        <f>MonitorProjetos!$F$10</f>
        <v>0</v>
      </c>
      <c r="CG3" t="str">
        <f>'1'!$B$37</f>
        <v>Matriz de achados</v>
      </c>
      <c r="CH3" s="12">
        <f>'1'!$Z$37</f>
        <v>43485</v>
      </c>
      <c r="CI3" s="12">
        <f>'1'!$AD$37</f>
        <v>43511</v>
      </c>
      <c r="CJ3" s="48">
        <f>MonitorProjetos!K11</f>
        <v>0</v>
      </c>
      <c r="CK3" s="48">
        <f>MonitorProjetos!L11</f>
        <v>0</v>
      </c>
      <c r="CL3" s="48">
        <f>MonitorProjetos!M11</f>
        <v>0</v>
      </c>
      <c r="CM3" s="48">
        <f>MonitorProjetos!$G$11</f>
        <v>0</v>
      </c>
      <c r="CN3" s="48" t="str">
        <f ca="1">MonitorProjetos!$E$11</f>
        <v>Atrasada</v>
      </c>
      <c r="CO3" s="48">
        <f>MonitorProjetos!$I$11</f>
        <v>0</v>
      </c>
      <c r="CP3" s="48" t="str">
        <f ca="1">MonitorProjetos!$J$11</f>
        <v/>
      </c>
      <c r="CQ3" s="48">
        <f>MonitorProjetos!$F$11</f>
        <v>0</v>
      </c>
      <c r="CR3" t="str">
        <f>'1'!$B$38</f>
        <v>Relatório preliminar</v>
      </c>
      <c r="CS3" s="12">
        <f>'1'!$Z$38</f>
        <v>43516</v>
      </c>
      <c r="CT3" s="12">
        <f>'1'!$AD$38</f>
        <v>43521</v>
      </c>
      <c r="CU3" s="48">
        <f>MonitorProjetos!K12</f>
        <v>0</v>
      </c>
      <c r="CV3" s="48">
        <f>MonitorProjetos!L12</f>
        <v>0</v>
      </c>
      <c r="CW3" s="48">
        <f>MonitorProjetos!M12</f>
        <v>0</v>
      </c>
      <c r="CX3" s="48">
        <f>MonitorProjetos!$G$12</f>
        <v>0</v>
      </c>
      <c r="CY3" s="48" t="str">
        <f ca="1">MonitorProjetos!$E$12</f>
        <v>Atrasada</v>
      </c>
      <c r="CZ3" s="48">
        <f>MonitorProjetos!$I$12</f>
        <v>0</v>
      </c>
      <c r="DA3" s="48" t="str">
        <f ca="1">MonitorProjetos!$J$12</f>
        <v/>
      </c>
      <c r="DB3" s="48">
        <f>MonitorProjetos!$F$12</f>
        <v>0</v>
      </c>
      <c r="DC3" t="str">
        <f>'1'!$B$39</f>
        <v>Reunião de busca com gestor</v>
      </c>
      <c r="DD3" s="12">
        <f>'1'!$Z$39</f>
        <v>43522</v>
      </c>
      <c r="DE3" s="12">
        <f>'1'!$AD$39</f>
        <v>43524</v>
      </c>
      <c r="DF3" s="48">
        <f>MonitorProjetos!K13</f>
        <v>0</v>
      </c>
      <c r="DG3" s="48">
        <f>MonitorProjetos!L13</f>
        <v>0</v>
      </c>
      <c r="DH3" s="48">
        <f>MonitorProjetos!M13</f>
        <v>0</v>
      </c>
      <c r="DI3" s="48">
        <f>MonitorProjetos!$G$13</f>
        <v>0</v>
      </c>
      <c r="DJ3" s="48" t="str">
        <f ca="1">MonitorProjetos!$E$13</f>
        <v>Atrasada</v>
      </c>
      <c r="DK3" s="48">
        <f>MonitorProjetos!$I$13</f>
        <v>0</v>
      </c>
      <c r="DL3" s="48" t="str">
        <f ca="1">MonitorProjetos!$J$13</f>
        <v/>
      </c>
      <c r="DM3" s="48">
        <f>MonitorProjetos!$F$13</f>
        <v>0</v>
      </c>
      <c r="DN3" t="str">
        <f>'1'!$B$40</f>
        <v>Minuta do relatório final</v>
      </c>
      <c r="DO3" s="12">
        <f>'1'!$Z$40</f>
        <v>43525</v>
      </c>
      <c r="DP3" s="12">
        <f>'1'!$AD$40</f>
        <v>43529</v>
      </c>
      <c r="DQ3" s="48">
        <f>MonitorProjetos!K14</f>
        <v>0</v>
      </c>
      <c r="DR3" s="48">
        <f>MonitorProjetos!L14</f>
        <v>0</v>
      </c>
      <c r="DS3" s="48">
        <f>MonitorProjetos!M14</f>
        <v>0</v>
      </c>
      <c r="DT3" s="48">
        <f>MonitorProjetos!$G$14</f>
        <v>0</v>
      </c>
      <c r="DU3" s="48" t="str">
        <f ca="1">MonitorProjetos!$E$14</f>
        <v>Atrasada</v>
      </c>
      <c r="DV3" s="48">
        <f>MonitorProjetos!$I$14</f>
        <v>0</v>
      </c>
      <c r="DW3" s="48" t="str">
        <f ca="1">MonitorProjetos!$J$14</f>
        <v/>
      </c>
      <c r="DX3" s="48">
        <f>MonitorProjetos!$F$14</f>
        <v>0</v>
      </c>
      <c r="DY3" t="str">
        <f>'1'!$B$41</f>
        <v>Relatório final</v>
      </c>
      <c r="DZ3" s="12">
        <f>'1'!$Z$41</f>
        <v>43525</v>
      </c>
      <c r="EA3" s="12">
        <f>'1'!$AD$41</f>
        <v>43534</v>
      </c>
      <c r="EB3" s="48">
        <f>MonitorProjetos!K15</f>
        <v>0</v>
      </c>
      <c r="EC3" s="48">
        <f>MonitorProjetos!L15</f>
        <v>0</v>
      </c>
      <c r="ED3" s="48">
        <f>MonitorProjetos!M15</f>
        <v>0</v>
      </c>
      <c r="EE3" s="48">
        <f>MonitorProjetos!$G$15</f>
        <v>0</v>
      </c>
      <c r="EF3" s="48" t="str">
        <f ca="1">MonitorProjetos!$E$15</f>
        <v>Atrasada</v>
      </c>
      <c r="EG3" s="48">
        <f>MonitorProjetos!$I$15</f>
        <v>0</v>
      </c>
      <c r="EH3" s="48" t="str">
        <f ca="1">MonitorProjetos!$J$15</f>
        <v/>
      </c>
      <c r="EI3" s="12">
        <f>MonitorProjetos!$F$15</f>
        <v>0</v>
      </c>
    </row>
    <row r="4" spans="1:139" x14ac:dyDescent="0.25">
      <c r="A4" s="52">
        <f>A3+1</f>
        <v>2</v>
      </c>
      <c r="B4" t="str">
        <f>'2'!$H$8</f>
        <v>DS1</v>
      </c>
      <c r="C4" t="str">
        <f>'2'!$R$8</f>
        <v>CGEBC</v>
      </c>
      <c r="D4" t="str">
        <f>'2'!$Z$8</f>
        <v>Processo x</v>
      </c>
      <c r="E4" t="str">
        <f>'2'!$H$6</f>
        <v>teste</v>
      </c>
      <c r="F4" t="str">
        <f>'2'!$H$7</f>
        <v>&lt;indicar iniciativas do PO que o projeto contribui &gt;</v>
      </c>
      <c r="G4">
        <f>'2'!$M$7</f>
        <v>0</v>
      </c>
      <c r="H4">
        <f>'2'!$R$7</f>
        <v>0</v>
      </c>
      <c r="I4">
        <f>'2'!$X$7</f>
        <v>0</v>
      </c>
      <c r="J4">
        <f>'2'!$AD$7</f>
        <v>0</v>
      </c>
      <c r="K4" t="str">
        <f>'2'!$H$10</f>
        <v>&lt; servidor com a responsabilidade de planejar e controlar a execução do projeto &gt;</v>
      </c>
      <c r="L4" t="str">
        <f>'2'!$H$6</f>
        <v>teste</v>
      </c>
      <c r="M4">
        <f t="shared" si="0"/>
        <v>2</v>
      </c>
      <c r="N4" s="12">
        <f>'2'!$H$11</f>
        <v>43497</v>
      </c>
      <c r="O4" s="13">
        <f>'2'!$AB$11</f>
        <v>43708</v>
      </c>
      <c r="P4" t="str">
        <f>'2'!$I$12</f>
        <v>Fulano da Silva</v>
      </c>
      <c r="Q4">
        <f>'2'!$AD$12</f>
        <v>12345</v>
      </c>
      <c r="R4">
        <f>'2'!$I$13</f>
        <v>0</v>
      </c>
      <c r="S4">
        <f>'2'!$AD$13</f>
        <v>0</v>
      </c>
      <c r="T4">
        <f>'2'!$I$14</f>
        <v>0</v>
      </c>
      <c r="U4">
        <f>'2'!$AD$14</f>
        <v>0</v>
      </c>
      <c r="V4">
        <f>'2'!$I$15</f>
        <v>0</v>
      </c>
      <c r="W4">
        <f>'2'!$AD$15</f>
        <v>0</v>
      </c>
      <c r="X4">
        <f>'2'!$I$16</f>
        <v>0</v>
      </c>
      <c r="Y4">
        <f>'2'!$AD$16</f>
        <v>0</v>
      </c>
      <c r="Z4">
        <f>'2'!$I$17</f>
        <v>0</v>
      </c>
      <c r="AA4">
        <f>'2'!$AD$17</f>
        <v>0</v>
      </c>
      <c r="AB4">
        <f>'2'!$I$18</f>
        <v>0</v>
      </c>
      <c r="AC4">
        <f>'2'!$AD$18</f>
        <v>0</v>
      </c>
      <c r="AD4">
        <f>'2'!$B$32</f>
        <v>0</v>
      </c>
      <c r="AE4" s="12">
        <f>'2'!$Z$32</f>
        <v>0</v>
      </c>
      <c r="AF4" s="12">
        <f>'2'!$AD$32</f>
        <v>0</v>
      </c>
      <c r="AG4" s="12">
        <f>MonitorProjetos!K20</f>
        <v>0</v>
      </c>
      <c r="AH4" s="12">
        <f>MonitorProjetos!L20</f>
        <v>0</v>
      </c>
      <c r="AI4" s="12">
        <f>MonitorProjetos!M20</f>
        <v>0</v>
      </c>
      <c r="AJ4" s="12">
        <f>MonitorProjetos!$G$20</f>
        <v>0</v>
      </c>
      <c r="AK4" s="12" t="str">
        <f ca="1">MonitorProjetos!$E$20</f>
        <v/>
      </c>
      <c r="AL4" s="12">
        <f>MonitorProjetos!$I$20</f>
        <v>0</v>
      </c>
      <c r="AM4" s="12" t="str">
        <f ca="1">MonitorProjetos!$J$20</f>
        <v/>
      </c>
      <c r="AN4" s="12">
        <f>MonitorProjetos!$F$20</f>
        <v>0</v>
      </c>
      <c r="AO4">
        <f>'2'!$B$33</f>
        <v>0</v>
      </c>
      <c r="AP4" s="12">
        <f>'2'!$Z$33</f>
        <v>0</v>
      </c>
      <c r="AQ4" s="12">
        <f>'2'!$AD$33</f>
        <v>0</v>
      </c>
      <c r="AR4" s="12">
        <f>MonitorProjetos!K8</f>
        <v>0</v>
      </c>
      <c r="AS4" s="12">
        <f>MonitorProjetos!L21</f>
        <v>0</v>
      </c>
      <c r="AT4" s="35">
        <f>MonitorProjetos!M21</f>
        <v>0</v>
      </c>
      <c r="AU4" s="35">
        <f>MonitorProjetos!$G$21</f>
        <v>0</v>
      </c>
      <c r="AV4" s="35" t="str">
        <f ca="1">MonitorProjetos!$E$21</f>
        <v/>
      </c>
      <c r="AW4" s="35">
        <f>MonitorProjetos!$I$21</f>
        <v>0</v>
      </c>
      <c r="AX4" s="35" t="str">
        <f ca="1">MonitorProjetos!$J$21</f>
        <v/>
      </c>
      <c r="AY4" s="35">
        <f>MonitorProjetos!$F$21</f>
        <v>0</v>
      </c>
      <c r="AZ4">
        <f>'2'!$B$34</f>
        <v>0</v>
      </c>
      <c r="BA4" s="12">
        <f>'2'!$Z$34</f>
        <v>0</v>
      </c>
      <c r="BB4" s="12">
        <f>'2'!$AD$34</f>
        <v>0</v>
      </c>
      <c r="BC4" s="12">
        <f>MonitorProjetos!K22</f>
        <v>0</v>
      </c>
      <c r="BD4" s="12">
        <f>MonitorProjetos!L22</f>
        <v>0</v>
      </c>
      <c r="BE4" s="12">
        <f>MonitorProjetos!M22</f>
        <v>0</v>
      </c>
      <c r="BF4" s="12">
        <f>MonitorProjetos!$G$22</f>
        <v>0</v>
      </c>
      <c r="BG4" s="12" t="str">
        <f ca="1">MonitorProjetos!$E$22</f>
        <v/>
      </c>
      <c r="BH4" s="12">
        <f>MonitorProjetos!$I$22</f>
        <v>0</v>
      </c>
      <c r="BI4" s="12" t="str">
        <f ca="1">MonitorProjetos!$J$22</f>
        <v/>
      </c>
      <c r="BJ4" s="12">
        <f>MonitorProjetos!$F$22</f>
        <v>0</v>
      </c>
      <c r="BK4">
        <f>'2'!$B$35</f>
        <v>0</v>
      </c>
      <c r="BL4" s="12">
        <f>'2'!$Z$35</f>
        <v>0</v>
      </c>
      <c r="BM4" s="12">
        <f>'2'!$AD$35</f>
        <v>0</v>
      </c>
      <c r="BN4" s="12">
        <f>MonitorProjetos!K23</f>
        <v>0</v>
      </c>
      <c r="BO4" s="12">
        <f>MonitorProjetos!L23</f>
        <v>0</v>
      </c>
      <c r="BP4" s="12">
        <f>MonitorProjetos!M23</f>
        <v>0</v>
      </c>
      <c r="BQ4" s="12">
        <f>MonitorProjetos!$G$23</f>
        <v>0</v>
      </c>
      <c r="BR4" s="12" t="str">
        <f ca="1">MonitorProjetos!$E$23</f>
        <v/>
      </c>
      <c r="BS4" s="12">
        <f>MonitorProjetos!$I$23</f>
        <v>0</v>
      </c>
      <c r="BT4" s="12" t="str">
        <f ca="1">MonitorProjetos!$J$23</f>
        <v/>
      </c>
      <c r="BU4" s="12">
        <f>MonitorProjetos!$F$23</f>
        <v>0</v>
      </c>
      <c r="BV4">
        <f>'2'!$B$36</f>
        <v>0</v>
      </c>
      <c r="BW4" s="12">
        <f>'2'!$Z$36</f>
        <v>0</v>
      </c>
      <c r="BX4" s="12">
        <f>'2'!$AD$36</f>
        <v>0</v>
      </c>
      <c r="BY4" s="12">
        <f>MonitorProjetos!K24</f>
        <v>0</v>
      </c>
      <c r="BZ4" s="12">
        <f>MonitorProjetos!L24</f>
        <v>0</v>
      </c>
      <c r="CA4" s="12">
        <f>MonitorProjetos!M24</f>
        <v>0</v>
      </c>
      <c r="CB4" s="12">
        <f>MonitorProjetos!$G$24</f>
        <v>0</v>
      </c>
      <c r="CC4" s="12" t="str">
        <f ca="1">MonitorProjetos!$E$24</f>
        <v/>
      </c>
      <c r="CD4" s="12">
        <f>MonitorProjetos!$I$24</f>
        <v>0</v>
      </c>
      <c r="CE4" s="12" t="str">
        <f ca="1">MonitorProjetos!$J$24</f>
        <v/>
      </c>
      <c r="CF4" s="12">
        <f>MonitorProjetos!$F$24</f>
        <v>0</v>
      </c>
      <c r="CG4">
        <f>'2'!$B$37</f>
        <v>0</v>
      </c>
      <c r="CH4" s="12">
        <f>'2'!$Z$37</f>
        <v>0</v>
      </c>
      <c r="CI4" s="12">
        <f>'2'!$AD$37</f>
        <v>0</v>
      </c>
      <c r="CJ4" s="12">
        <f>MonitorProjetos!K25</f>
        <v>0</v>
      </c>
      <c r="CK4" s="12">
        <f>MonitorProjetos!L25</f>
        <v>0</v>
      </c>
      <c r="CL4" s="12">
        <f>MonitorProjetos!M25</f>
        <v>0</v>
      </c>
      <c r="CM4" s="12">
        <f>MonitorProjetos!$G$25</f>
        <v>0</v>
      </c>
      <c r="CN4" s="12" t="str">
        <f ca="1">MonitorProjetos!$E$25</f>
        <v/>
      </c>
      <c r="CO4" s="12">
        <f>MonitorProjetos!$I$25</f>
        <v>0</v>
      </c>
      <c r="CP4" s="12" t="str">
        <f ca="1">MonitorProjetos!$J$25</f>
        <v/>
      </c>
      <c r="CQ4" s="12">
        <f>MonitorProjetos!$F$25</f>
        <v>0</v>
      </c>
      <c r="CR4">
        <f>'2'!$B$38</f>
        <v>0</v>
      </c>
      <c r="CS4" s="12">
        <f>'2'!$Z$38</f>
        <v>0</v>
      </c>
      <c r="CT4" s="12">
        <f>'2'!$AD$38</f>
        <v>0</v>
      </c>
      <c r="CU4" s="12">
        <f>MonitorProjetos!K26</f>
        <v>0</v>
      </c>
      <c r="CV4" s="12">
        <f>MonitorProjetos!L26</f>
        <v>0</v>
      </c>
      <c r="CW4" s="12">
        <f>MonitorProjetos!M26</f>
        <v>0</v>
      </c>
      <c r="CX4" s="12">
        <f>MonitorProjetos!$G$26</f>
        <v>0</v>
      </c>
      <c r="CY4" s="12" t="str">
        <f ca="1">MonitorProjetos!$E$26</f>
        <v/>
      </c>
      <c r="CZ4" s="12">
        <f>MonitorProjetos!$I$26</f>
        <v>0</v>
      </c>
      <c r="DA4" s="12" t="str">
        <f ca="1">MonitorProjetos!$J$26</f>
        <v/>
      </c>
      <c r="DB4" s="12">
        <f>MonitorProjetos!$F$26</f>
        <v>0</v>
      </c>
      <c r="DC4">
        <f>'2'!$B$39</f>
        <v>0</v>
      </c>
      <c r="DD4" s="12">
        <f>'2'!$Z$39</f>
        <v>0</v>
      </c>
      <c r="DE4" s="12">
        <f>'2'!$AD$39</f>
        <v>0</v>
      </c>
      <c r="DF4" s="12">
        <f>MonitorProjetos!K27</f>
        <v>0</v>
      </c>
      <c r="DG4" s="12">
        <f>MonitorProjetos!L27</f>
        <v>0</v>
      </c>
      <c r="DH4" s="12">
        <f>MonitorProjetos!M27</f>
        <v>0</v>
      </c>
      <c r="DI4" s="12">
        <f>MonitorProjetos!$G$27</f>
        <v>0</v>
      </c>
      <c r="DJ4" s="12" t="str">
        <f ca="1">MonitorProjetos!$E$27</f>
        <v/>
      </c>
      <c r="DK4" s="12">
        <f>MonitorProjetos!$I$27</f>
        <v>0</v>
      </c>
      <c r="DL4" s="12" t="str">
        <f ca="1">MonitorProjetos!$J$27</f>
        <v/>
      </c>
      <c r="DM4" s="12">
        <f>MonitorProjetos!$F$27</f>
        <v>0</v>
      </c>
      <c r="DN4">
        <f>'2'!$B$40</f>
        <v>0</v>
      </c>
      <c r="DO4" s="12">
        <f>'2'!$Z$40</f>
        <v>0</v>
      </c>
      <c r="DP4" s="12">
        <f>'2'!$AD$40</f>
        <v>0</v>
      </c>
      <c r="DQ4" s="12">
        <f>MonitorProjetos!K28</f>
        <v>0</v>
      </c>
      <c r="DR4" s="12">
        <f>MonitorProjetos!L28</f>
        <v>0</v>
      </c>
      <c r="DS4" s="12">
        <f>MonitorProjetos!M28</f>
        <v>0</v>
      </c>
      <c r="DT4" s="12">
        <f>MonitorProjetos!$G$28</f>
        <v>0</v>
      </c>
      <c r="DU4" s="12" t="str">
        <f ca="1">MonitorProjetos!$E$28</f>
        <v/>
      </c>
      <c r="DV4" s="12">
        <f>MonitorProjetos!$I$28</f>
        <v>0</v>
      </c>
      <c r="DW4" s="12" t="str">
        <f ca="1">MonitorProjetos!$J$28</f>
        <v/>
      </c>
      <c r="DX4" s="12">
        <f>MonitorProjetos!$F$28</f>
        <v>0</v>
      </c>
      <c r="DY4">
        <f>'2'!$B$41</f>
        <v>0</v>
      </c>
      <c r="DZ4" s="12">
        <f>'2'!$Z$41</f>
        <v>0</v>
      </c>
      <c r="EA4" s="12">
        <f>'2'!$AD$41</f>
        <v>0</v>
      </c>
      <c r="EB4" s="12">
        <f>MonitorProjetos!K29</f>
        <v>0</v>
      </c>
      <c r="EC4" s="12">
        <f>MonitorProjetos!L29</f>
        <v>0</v>
      </c>
      <c r="ED4" s="12">
        <f>MonitorProjetos!M29</f>
        <v>0</v>
      </c>
      <c r="EE4" s="12">
        <f>MonitorProjetos!$G$29</f>
        <v>0</v>
      </c>
      <c r="EF4" s="12" t="str">
        <f ca="1">MonitorProjetos!$E$29</f>
        <v/>
      </c>
      <c r="EG4" s="12">
        <f>MonitorProjetos!$I$29</f>
        <v>0</v>
      </c>
      <c r="EH4" s="12" t="str">
        <f ca="1">MonitorProjetos!$J$29</f>
        <v/>
      </c>
      <c r="EI4" s="12">
        <f>MonitorProjetos!$F$29</f>
        <v>0</v>
      </c>
    </row>
    <row r="5" spans="1:139" x14ac:dyDescent="0.25">
      <c r="A5" s="52">
        <f t="shared" ref="A5:A22" si="1">A4+1</f>
        <v>3</v>
      </c>
      <c r="B5" t="str">
        <f>'3'!$H$8</f>
        <v>DS1</v>
      </c>
      <c r="C5" t="str">
        <f>'3'!$R$8</f>
        <v>CGEBC</v>
      </c>
      <c r="D5" t="str">
        <f>'3'!$Z$8</f>
        <v>Processo x</v>
      </c>
      <c r="E5" t="str">
        <f>'3'!$H$6</f>
        <v>teste</v>
      </c>
      <c r="F5" t="str">
        <f>'3'!$H$7</f>
        <v>&lt;indicar iniciativas do PO que o projeto contribui &gt;</v>
      </c>
      <c r="G5">
        <f>'3'!$M$7</f>
        <v>0</v>
      </c>
      <c r="H5">
        <f>'3'!$R$7</f>
        <v>0</v>
      </c>
      <c r="I5">
        <f>'3'!$X$7</f>
        <v>0</v>
      </c>
      <c r="J5">
        <f>'3'!$AD$7</f>
        <v>0</v>
      </c>
      <c r="K5" t="str">
        <f>'3'!$H$10</f>
        <v>&lt; servidor com a responsabilidade de planejar e controlar a execução do projeto &gt;</v>
      </c>
      <c r="L5" t="str">
        <f>'3'!$H$6</f>
        <v>teste</v>
      </c>
      <c r="M5">
        <f t="shared" si="0"/>
        <v>3</v>
      </c>
      <c r="N5" s="12">
        <f>'3'!$H$11</f>
        <v>43497</v>
      </c>
      <c r="O5" s="13">
        <f>'3'!$AB$11</f>
        <v>43708</v>
      </c>
      <c r="P5" t="str">
        <f>'3'!$I$12</f>
        <v>Fulano da Silva</v>
      </c>
      <c r="Q5">
        <f>'3'!$AD$12</f>
        <v>12345</v>
      </c>
      <c r="R5">
        <f>'3'!$I$13</f>
        <v>0</v>
      </c>
      <c r="S5">
        <f>'3'!$AD$13</f>
        <v>0</v>
      </c>
      <c r="T5">
        <f>'3'!$I$14</f>
        <v>0</v>
      </c>
      <c r="U5">
        <f>'3'!$AD$14</f>
        <v>0</v>
      </c>
      <c r="V5">
        <f>'3'!$I$15</f>
        <v>0</v>
      </c>
      <c r="W5">
        <f>'3'!$AD$15</f>
        <v>0</v>
      </c>
      <c r="X5">
        <f>'3'!$I$16</f>
        <v>0</v>
      </c>
      <c r="Y5">
        <f>'3'!$AD$16</f>
        <v>0</v>
      </c>
      <c r="Z5">
        <f>'3'!$I$17</f>
        <v>0</v>
      </c>
      <c r="AA5">
        <f>'3'!$AD$17</f>
        <v>0</v>
      </c>
      <c r="AB5">
        <f>'3'!$I$18</f>
        <v>0</v>
      </c>
      <c r="AC5">
        <f>'3'!$AD$18</f>
        <v>0</v>
      </c>
      <c r="AD5">
        <f>'3'!$B$32</f>
        <v>0</v>
      </c>
      <c r="AE5" s="12">
        <f>'3'!$Z$32</f>
        <v>0</v>
      </c>
      <c r="AF5" s="12">
        <f>'3'!$AD$32</f>
        <v>0</v>
      </c>
      <c r="AG5" s="12">
        <f>MonitorProjetos!K34</f>
        <v>0</v>
      </c>
      <c r="AH5" s="12">
        <f>MonitorProjetos!L34</f>
        <v>0</v>
      </c>
      <c r="AI5" s="12">
        <f>MonitorProjetos!M34</f>
        <v>0</v>
      </c>
      <c r="AJ5" s="48">
        <f>MonitorProjetos!$G$34</f>
        <v>0</v>
      </c>
      <c r="AK5" s="12" t="str">
        <f ca="1">MonitorProjetos!$E$34</f>
        <v/>
      </c>
      <c r="AL5" s="12">
        <f>MonitorProjetos!$I$34</f>
        <v>0</v>
      </c>
      <c r="AM5" s="12" t="str">
        <f ca="1">MonitorProjetos!$J$34</f>
        <v/>
      </c>
      <c r="AN5" s="12">
        <f>MonitorProjetos!$F$34</f>
        <v>0</v>
      </c>
      <c r="AO5">
        <f>'3'!$B$33</f>
        <v>0</v>
      </c>
      <c r="AP5" s="12">
        <f>'3'!$Z$33</f>
        <v>0</v>
      </c>
      <c r="AQ5" s="12">
        <f>'3'!$AD$33</f>
        <v>0</v>
      </c>
      <c r="AR5" s="12">
        <f>MonitorProjetos!K9</f>
        <v>0</v>
      </c>
      <c r="AS5" s="12">
        <f>MonitorProjetos!L35</f>
        <v>0</v>
      </c>
      <c r="AT5" s="35">
        <f>MonitorProjetos!M35</f>
        <v>0</v>
      </c>
      <c r="AU5" s="35">
        <f>MonitorProjetos!$G$35</f>
        <v>0</v>
      </c>
      <c r="AV5" s="35" t="str">
        <f ca="1">MonitorProjetos!$E$35</f>
        <v/>
      </c>
      <c r="AW5" s="35">
        <f>MonitorProjetos!$I$35</f>
        <v>0</v>
      </c>
      <c r="AX5" s="35" t="str">
        <f ca="1">MonitorProjetos!$J$35</f>
        <v/>
      </c>
      <c r="AY5" s="35">
        <f>MonitorProjetos!$F$35</f>
        <v>0</v>
      </c>
      <c r="AZ5">
        <f>'3'!$B$34</f>
        <v>0</v>
      </c>
      <c r="BA5" s="12">
        <f>'3'!$Z$34</f>
        <v>0</v>
      </c>
      <c r="BB5" s="12">
        <f>'3'!$AD$34</f>
        <v>0</v>
      </c>
      <c r="BC5" s="12">
        <f>MonitorProjetos!K36</f>
        <v>0</v>
      </c>
      <c r="BD5" s="12">
        <f>MonitorProjetos!L36</f>
        <v>0</v>
      </c>
      <c r="BE5" s="12">
        <f>MonitorProjetos!M36</f>
        <v>0</v>
      </c>
      <c r="BF5" s="12">
        <f>MonitorProjetos!$G$36</f>
        <v>0</v>
      </c>
      <c r="BG5" s="12" t="str">
        <f ca="1">MonitorProjetos!$E$36</f>
        <v/>
      </c>
      <c r="BH5" s="12">
        <f>MonitorProjetos!$I$36</f>
        <v>0</v>
      </c>
      <c r="BI5" s="12" t="str">
        <f ca="1">MonitorProjetos!$J$36</f>
        <v/>
      </c>
      <c r="BJ5" s="12">
        <f>MonitorProjetos!$F$36</f>
        <v>0</v>
      </c>
      <c r="BK5">
        <f>'3'!$B$35</f>
        <v>0</v>
      </c>
      <c r="BL5" s="12">
        <f>'3'!$Z$35</f>
        <v>0</v>
      </c>
      <c r="BM5" s="12">
        <f>'3'!$AD$35</f>
        <v>0</v>
      </c>
      <c r="BN5" s="12">
        <f>MonitorProjetos!K37</f>
        <v>0</v>
      </c>
      <c r="BO5" s="12">
        <f>MonitorProjetos!L37</f>
        <v>0</v>
      </c>
      <c r="BP5" s="12">
        <f>MonitorProjetos!M37</f>
        <v>0</v>
      </c>
      <c r="BQ5" s="12">
        <f>MonitorProjetos!$G$37</f>
        <v>0</v>
      </c>
      <c r="BR5" s="12" t="str">
        <f ca="1">MonitorProjetos!$E$37</f>
        <v/>
      </c>
      <c r="BS5" s="12">
        <f>MonitorProjetos!$I$37</f>
        <v>0</v>
      </c>
      <c r="BT5" s="12" t="str">
        <f ca="1">MonitorProjetos!$J$37</f>
        <v/>
      </c>
      <c r="BU5" s="12">
        <f>MonitorProjetos!$F$37</f>
        <v>0</v>
      </c>
      <c r="BV5">
        <f>'3'!$B$36</f>
        <v>0</v>
      </c>
      <c r="BW5" s="12">
        <f>'3'!$Z$36</f>
        <v>0</v>
      </c>
      <c r="BX5" s="12">
        <f>'3'!$AD$36</f>
        <v>0</v>
      </c>
      <c r="BY5" s="12">
        <f>MonitorProjetos!K38</f>
        <v>0</v>
      </c>
      <c r="BZ5" s="12">
        <f>MonitorProjetos!L38</f>
        <v>0</v>
      </c>
      <c r="CA5" s="12">
        <f>MonitorProjetos!M38</f>
        <v>0</v>
      </c>
      <c r="CB5" s="12">
        <f>MonitorProjetos!$G$38</f>
        <v>0</v>
      </c>
      <c r="CC5" s="12" t="str">
        <f ca="1">MonitorProjetos!$E$38</f>
        <v/>
      </c>
      <c r="CD5" s="12">
        <f>MonitorProjetos!$I$38</f>
        <v>0</v>
      </c>
      <c r="CE5" s="12" t="str">
        <f ca="1">MonitorProjetos!$J$38</f>
        <v/>
      </c>
      <c r="CF5" s="12">
        <f>MonitorProjetos!$F$38</f>
        <v>0</v>
      </c>
      <c r="CG5">
        <f>'3'!$B$37</f>
        <v>0</v>
      </c>
      <c r="CH5" s="12">
        <f>'3'!$Z$37</f>
        <v>0</v>
      </c>
      <c r="CI5" s="12">
        <f>'3'!$AD$37</f>
        <v>0</v>
      </c>
      <c r="CJ5" s="12">
        <f>MonitorProjetos!K39</f>
        <v>0</v>
      </c>
      <c r="CK5" s="12">
        <f>MonitorProjetos!L39</f>
        <v>0</v>
      </c>
      <c r="CL5" s="12">
        <f>MonitorProjetos!M39</f>
        <v>0</v>
      </c>
      <c r="CM5" s="12">
        <f>MonitorProjetos!$G$39</f>
        <v>0</v>
      </c>
      <c r="CN5" s="12" t="str">
        <f ca="1">MonitorProjetos!$E$39</f>
        <v/>
      </c>
      <c r="CO5" s="12">
        <f>MonitorProjetos!$I$39</f>
        <v>0</v>
      </c>
      <c r="CP5" s="12" t="str">
        <f ca="1">MonitorProjetos!$J$39</f>
        <v/>
      </c>
      <c r="CQ5" s="12">
        <f>MonitorProjetos!$F$39</f>
        <v>0</v>
      </c>
      <c r="CR5">
        <f>'3'!$B$38</f>
        <v>0</v>
      </c>
      <c r="CS5" s="12">
        <f>'3'!$Z$38</f>
        <v>0</v>
      </c>
      <c r="CT5" s="12">
        <f>'3'!$AD$38</f>
        <v>0</v>
      </c>
      <c r="CU5" s="12">
        <f>MonitorProjetos!K40</f>
        <v>0</v>
      </c>
      <c r="CV5" s="12">
        <f>MonitorProjetos!L40</f>
        <v>0</v>
      </c>
      <c r="CW5" s="12">
        <f>MonitorProjetos!M40</f>
        <v>0</v>
      </c>
      <c r="CX5" s="12">
        <f>MonitorProjetos!$G$40</f>
        <v>0</v>
      </c>
      <c r="CY5" s="12" t="str">
        <f ca="1">MonitorProjetos!$E$40</f>
        <v/>
      </c>
      <c r="CZ5" s="12">
        <f>MonitorProjetos!$I$40</f>
        <v>0</v>
      </c>
      <c r="DA5" s="12" t="str">
        <f ca="1">MonitorProjetos!$J$40</f>
        <v/>
      </c>
      <c r="DB5" s="12">
        <f>MonitorProjetos!$F$40</f>
        <v>0</v>
      </c>
      <c r="DC5">
        <f>'3'!$B$39</f>
        <v>0</v>
      </c>
      <c r="DD5" s="12">
        <f>'3'!$Z$39</f>
        <v>0</v>
      </c>
      <c r="DE5" s="12">
        <f>'3'!$AD$39</f>
        <v>0</v>
      </c>
      <c r="DF5" s="12">
        <f>MonitorProjetos!K41</f>
        <v>0</v>
      </c>
      <c r="DG5" s="12">
        <f>MonitorProjetos!L41</f>
        <v>0</v>
      </c>
      <c r="DH5" s="12">
        <f>MonitorProjetos!M41</f>
        <v>0</v>
      </c>
      <c r="DI5" s="12">
        <f>MonitorProjetos!$G$41</f>
        <v>0</v>
      </c>
      <c r="DJ5" s="12" t="str">
        <f ca="1">MonitorProjetos!$E$41</f>
        <v/>
      </c>
      <c r="DK5" s="12">
        <f>MonitorProjetos!$I$41</f>
        <v>0</v>
      </c>
      <c r="DL5" s="12" t="str">
        <f ca="1">MonitorProjetos!$J$41</f>
        <v/>
      </c>
      <c r="DM5" s="12">
        <f>MonitorProjetos!$F$41</f>
        <v>0</v>
      </c>
      <c r="DN5">
        <f>'3'!$B$40</f>
        <v>0</v>
      </c>
      <c r="DO5" s="12">
        <f>'3'!$Z$40</f>
        <v>0</v>
      </c>
      <c r="DP5" s="12">
        <f>'3'!$AD$40</f>
        <v>0</v>
      </c>
      <c r="DQ5" s="12">
        <f>MonitorProjetos!K42</f>
        <v>0</v>
      </c>
      <c r="DR5" s="12">
        <f>MonitorProjetos!L42</f>
        <v>0</v>
      </c>
      <c r="DS5" s="12">
        <f>MonitorProjetos!M42</f>
        <v>0</v>
      </c>
      <c r="DT5" s="12">
        <f>MonitorProjetos!$G$42</f>
        <v>0</v>
      </c>
      <c r="DU5" s="12" t="str">
        <f ca="1">MonitorProjetos!$E$42</f>
        <v/>
      </c>
      <c r="DV5" s="12">
        <f>MonitorProjetos!$I$42</f>
        <v>0</v>
      </c>
      <c r="DW5" s="12" t="str">
        <f ca="1">MonitorProjetos!$J$42</f>
        <v/>
      </c>
      <c r="DX5" s="12">
        <f>MonitorProjetos!$F$42</f>
        <v>0</v>
      </c>
      <c r="DY5">
        <f>'3'!$B$41</f>
        <v>0</v>
      </c>
      <c r="DZ5" s="12">
        <f>'3'!$Z$41</f>
        <v>0</v>
      </c>
      <c r="EA5" s="12">
        <f>'3'!$AD$41</f>
        <v>0</v>
      </c>
      <c r="EB5" s="12">
        <f>MonitorProjetos!K43</f>
        <v>0</v>
      </c>
      <c r="EC5" s="12">
        <f>MonitorProjetos!L43</f>
        <v>0</v>
      </c>
      <c r="ED5" s="12">
        <f>MonitorProjetos!M43</f>
        <v>0</v>
      </c>
      <c r="EE5" s="12">
        <f>MonitorProjetos!$G$43</f>
        <v>0</v>
      </c>
      <c r="EF5" s="12" t="str">
        <f ca="1">MonitorProjetos!$E$43</f>
        <v/>
      </c>
      <c r="EG5" s="12">
        <f>MonitorProjetos!$I$43</f>
        <v>0</v>
      </c>
      <c r="EH5" s="12" t="str">
        <f ca="1">MonitorProjetos!$J$43</f>
        <v/>
      </c>
      <c r="EI5" s="12">
        <f>MonitorProjetos!$F$43</f>
        <v>0</v>
      </c>
    </row>
    <row r="6" spans="1:139" hidden="1" x14ac:dyDescent="0.25">
      <c r="A6" s="52">
        <f t="shared" si="1"/>
        <v>4</v>
      </c>
      <c r="B6">
        <f>'4'!$H$8</f>
        <v>0</v>
      </c>
      <c r="C6">
        <f>'4'!$R$8</f>
        <v>0</v>
      </c>
      <c r="D6">
        <f>'4'!$Z$8</f>
        <v>0</v>
      </c>
      <c r="E6" t="str">
        <f>'4'!$H$6</f>
        <v>&lt;Nome curto / apelido / código do projeto &gt;</v>
      </c>
      <c r="F6" t="str">
        <f>'4'!$H$7</f>
        <v>&lt;indicar iniciativas do PO que o projeto contribui &gt;</v>
      </c>
      <c r="G6">
        <f>'4'!$M$7</f>
        <v>0</v>
      </c>
      <c r="H6">
        <f>'4'!$R$7</f>
        <v>0</v>
      </c>
      <c r="I6">
        <f>'4'!$X$7</f>
        <v>0</v>
      </c>
      <c r="J6">
        <f>'4'!$AD$7</f>
        <v>0</v>
      </c>
      <c r="K6" t="str">
        <f>'4'!$H$10</f>
        <v>&lt; servidor com a responsabilidade de planejar e controlar a execução do projeto &gt;</v>
      </c>
      <c r="L6" t="str">
        <f>'4'!$H$6</f>
        <v>&lt;Nome curto / apelido / código do projeto &gt;</v>
      </c>
      <c r="M6">
        <f t="shared" si="0"/>
        <v>4</v>
      </c>
      <c r="N6" s="12">
        <f>'4'!$H$11</f>
        <v>0</v>
      </c>
      <c r="O6" s="13">
        <f>'4'!$AB$11</f>
        <v>0</v>
      </c>
      <c r="P6" t="str">
        <f>'4'!$I$12</f>
        <v>Fulano da Silva</v>
      </c>
      <c r="Q6">
        <f>'4'!$AD$12</f>
        <v>12345</v>
      </c>
      <c r="R6">
        <f>'4'!$I$13</f>
        <v>0</v>
      </c>
      <c r="S6">
        <f>'4'!$AD$13</f>
        <v>0</v>
      </c>
      <c r="T6">
        <f>'4'!$I$14</f>
        <v>0</v>
      </c>
      <c r="U6">
        <f>'4'!$AD$14</f>
        <v>0</v>
      </c>
      <c r="V6">
        <f>'4'!$I$15</f>
        <v>0</v>
      </c>
      <c r="W6">
        <f>'4'!$AD$15</f>
        <v>0</v>
      </c>
      <c r="X6">
        <f>'4'!$I$16</f>
        <v>0</v>
      </c>
      <c r="Y6">
        <f>'4'!$AD$16</f>
        <v>0</v>
      </c>
      <c r="Z6">
        <f>'4'!$I$17</f>
        <v>0</v>
      </c>
      <c r="AA6">
        <f>'4'!$AD$17</f>
        <v>0</v>
      </c>
      <c r="AB6">
        <f>'4'!$I$18</f>
        <v>0</v>
      </c>
      <c r="AC6">
        <f>'4'!$AD$18</f>
        <v>0</v>
      </c>
      <c r="AD6">
        <f>'4'!$B$32</f>
        <v>0</v>
      </c>
      <c r="AE6" s="12">
        <f>'4'!$Z$32</f>
        <v>0</v>
      </c>
      <c r="AF6" s="12">
        <f>'4'!$AD$32</f>
        <v>0</v>
      </c>
      <c r="AG6" s="12">
        <f>MonitorProjetos!K48</f>
        <v>0</v>
      </c>
      <c r="AH6" s="12">
        <f>MonitorProjetos!L48</f>
        <v>0</v>
      </c>
      <c r="AI6" s="12">
        <f>MonitorProjetos!M48</f>
        <v>0</v>
      </c>
      <c r="AJ6" s="12">
        <f>MonitorProjetos!$G$48</f>
        <v>0</v>
      </c>
      <c r="AK6" s="12" t="str">
        <f ca="1">MonitorProjetos!$E$48</f>
        <v/>
      </c>
      <c r="AL6" s="12">
        <f>MonitorProjetos!$I$48</f>
        <v>0</v>
      </c>
      <c r="AM6" s="12" t="str">
        <f ca="1">MonitorProjetos!$J$48</f>
        <v/>
      </c>
      <c r="AN6" s="12">
        <f>MonitorProjetos!$F$48</f>
        <v>0</v>
      </c>
      <c r="AO6">
        <f>'4'!$B$33</f>
        <v>0</v>
      </c>
      <c r="AP6" s="12">
        <f>'4'!$Z$33</f>
        <v>0</v>
      </c>
      <c r="AQ6" s="12">
        <f>'4'!$AD$33</f>
        <v>0</v>
      </c>
      <c r="AR6" s="12">
        <f>MonitorProjetos!K10</f>
        <v>0</v>
      </c>
      <c r="AS6" s="12">
        <f>MonitorProjetos!L49</f>
        <v>0</v>
      </c>
      <c r="AT6" s="35">
        <f>MonitorProjetos!M49</f>
        <v>0</v>
      </c>
      <c r="AU6" s="35">
        <f>MonitorProjetos!$G$49</f>
        <v>0</v>
      </c>
      <c r="AV6" s="35" t="str">
        <f ca="1">MonitorProjetos!$E$49</f>
        <v/>
      </c>
      <c r="AW6" s="35">
        <f>MonitorProjetos!$I$49</f>
        <v>0</v>
      </c>
      <c r="AX6" s="35" t="str">
        <f ca="1">MonitorProjetos!$J$49</f>
        <v/>
      </c>
      <c r="AY6" s="35">
        <f>MonitorProjetos!$F$49</f>
        <v>0</v>
      </c>
      <c r="AZ6">
        <f>'4'!$B$34</f>
        <v>0</v>
      </c>
      <c r="BA6" s="12">
        <f>'4'!$Z$34</f>
        <v>0</v>
      </c>
      <c r="BB6" s="12">
        <f>'4'!$AD$34</f>
        <v>0</v>
      </c>
      <c r="BC6" s="12">
        <f>MonitorProjetos!K50</f>
        <v>0</v>
      </c>
      <c r="BD6" s="12">
        <f>MonitorProjetos!L50</f>
        <v>0</v>
      </c>
      <c r="BE6" s="12">
        <f>MonitorProjetos!M50</f>
        <v>0</v>
      </c>
      <c r="BF6" s="12">
        <f>MonitorProjetos!$G$50</f>
        <v>0</v>
      </c>
      <c r="BG6" s="12" t="str">
        <f ca="1">MonitorProjetos!$E$50</f>
        <v/>
      </c>
      <c r="BH6" s="12">
        <f>MonitorProjetos!$I$50</f>
        <v>0</v>
      </c>
      <c r="BI6" s="12" t="str">
        <f ca="1">MonitorProjetos!$J$50</f>
        <v/>
      </c>
      <c r="BJ6" s="12">
        <f>MonitorProjetos!$F$50</f>
        <v>0</v>
      </c>
      <c r="BK6">
        <f>'4'!$B$35</f>
        <v>0</v>
      </c>
      <c r="BL6" s="12">
        <f>'4'!$Z$35</f>
        <v>0</v>
      </c>
      <c r="BM6" s="12">
        <f>'4'!$AD$35</f>
        <v>0</v>
      </c>
      <c r="BN6" s="12">
        <f>MonitorProjetos!K51</f>
        <v>0</v>
      </c>
      <c r="BO6" s="12">
        <f>MonitorProjetos!L51</f>
        <v>0</v>
      </c>
      <c r="BP6" s="12">
        <f>MonitorProjetos!M51</f>
        <v>0</v>
      </c>
      <c r="BQ6" s="12">
        <f>MonitorProjetos!$G$51</f>
        <v>0</v>
      </c>
      <c r="BR6" s="12" t="str">
        <f ca="1">MonitorProjetos!$E$51</f>
        <v/>
      </c>
      <c r="BS6" s="12">
        <f>MonitorProjetos!$I$51</f>
        <v>0</v>
      </c>
      <c r="BT6" s="12" t="str">
        <f ca="1">MonitorProjetos!$J$51</f>
        <v/>
      </c>
      <c r="BU6" s="12">
        <f>MonitorProjetos!$F$51</f>
        <v>0</v>
      </c>
      <c r="BV6">
        <f>'4'!$B$36</f>
        <v>0</v>
      </c>
      <c r="BW6" s="12">
        <f>'4'!$Z$36</f>
        <v>0</v>
      </c>
      <c r="BX6" s="12">
        <f>'4'!$AD$36</f>
        <v>0</v>
      </c>
      <c r="BY6" s="12">
        <f>MonitorProjetos!K52</f>
        <v>0</v>
      </c>
      <c r="BZ6" s="12">
        <f>MonitorProjetos!L52</f>
        <v>0</v>
      </c>
      <c r="CA6" s="12">
        <f>MonitorProjetos!M52</f>
        <v>0</v>
      </c>
      <c r="CB6" s="12">
        <f>MonitorProjetos!$G$52</f>
        <v>0</v>
      </c>
      <c r="CC6" s="12" t="str">
        <f ca="1">MonitorProjetos!$E$52</f>
        <v/>
      </c>
      <c r="CD6" s="12">
        <f>MonitorProjetos!$I$52</f>
        <v>0</v>
      </c>
      <c r="CE6" s="12" t="str">
        <f ca="1">MonitorProjetos!$J$52</f>
        <v/>
      </c>
      <c r="CF6" s="12">
        <f>MonitorProjetos!$F$52</f>
        <v>0</v>
      </c>
      <c r="CG6">
        <f>'4'!$B$37</f>
        <v>0</v>
      </c>
      <c r="CH6" s="12">
        <f>'4'!$Z$37</f>
        <v>0</v>
      </c>
      <c r="CI6" s="12">
        <f>'4'!$AD$37</f>
        <v>0</v>
      </c>
      <c r="CJ6" s="12">
        <f>MonitorProjetos!K53</f>
        <v>0</v>
      </c>
      <c r="CK6" s="12">
        <f>MonitorProjetos!L53</f>
        <v>0</v>
      </c>
      <c r="CL6" s="12">
        <f>MonitorProjetos!M53</f>
        <v>0</v>
      </c>
      <c r="CM6" s="12">
        <f>MonitorProjetos!$G$53</f>
        <v>0</v>
      </c>
      <c r="CN6" s="12" t="str">
        <f ca="1">MonitorProjetos!$E$53</f>
        <v/>
      </c>
      <c r="CO6" s="12">
        <f>MonitorProjetos!$I$53</f>
        <v>0</v>
      </c>
      <c r="CP6" s="12" t="str">
        <f ca="1">MonitorProjetos!$J$53</f>
        <v/>
      </c>
      <c r="CQ6" s="12">
        <f>MonitorProjetos!$F$53</f>
        <v>0</v>
      </c>
      <c r="CR6">
        <f>'4'!$B$38</f>
        <v>0</v>
      </c>
      <c r="CS6" s="12">
        <f>'4'!$Z$38</f>
        <v>0</v>
      </c>
      <c r="CT6" s="12">
        <f>'4'!$AD$38</f>
        <v>0</v>
      </c>
      <c r="CU6" s="12">
        <f>MonitorProjetos!K54</f>
        <v>0</v>
      </c>
      <c r="CV6" s="12">
        <f>MonitorProjetos!L54</f>
        <v>0</v>
      </c>
      <c r="CW6" s="12">
        <f>MonitorProjetos!M54</f>
        <v>0</v>
      </c>
      <c r="CX6" s="12">
        <f>MonitorProjetos!$G$54</f>
        <v>0</v>
      </c>
      <c r="CY6" s="12" t="str">
        <f ca="1">MonitorProjetos!$E$54</f>
        <v/>
      </c>
      <c r="CZ6" s="12">
        <f>MonitorProjetos!$I$54</f>
        <v>0</v>
      </c>
      <c r="DA6" s="12" t="str">
        <f ca="1">MonitorProjetos!$J$54</f>
        <v/>
      </c>
      <c r="DB6" s="12">
        <f>MonitorProjetos!$F$54</f>
        <v>0</v>
      </c>
      <c r="DC6">
        <f>'4'!$B$39</f>
        <v>0</v>
      </c>
      <c r="DD6" s="12">
        <f>'4'!$Z$39</f>
        <v>0</v>
      </c>
      <c r="DE6" s="12">
        <f>'4'!$AD$39</f>
        <v>0</v>
      </c>
      <c r="DF6" s="12">
        <f>MonitorProjetos!K55</f>
        <v>0</v>
      </c>
      <c r="DG6" s="12">
        <f>MonitorProjetos!L55</f>
        <v>0</v>
      </c>
      <c r="DH6" s="12">
        <f>MonitorProjetos!M55</f>
        <v>0</v>
      </c>
      <c r="DI6" s="12">
        <f>MonitorProjetos!$G$55</f>
        <v>0</v>
      </c>
      <c r="DJ6" s="12" t="str">
        <f ca="1">MonitorProjetos!$E$55</f>
        <v/>
      </c>
      <c r="DK6" s="12">
        <f>MonitorProjetos!$I$55</f>
        <v>0</v>
      </c>
      <c r="DL6" s="12" t="str">
        <f ca="1">MonitorProjetos!$J$55</f>
        <v/>
      </c>
      <c r="DM6" s="12">
        <f>MonitorProjetos!$F$55</f>
        <v>0</v>
      </c>
      <c r="DN6">
        <f>'4'!$B$40</f>
        <v>0</v>
      </c>
      <c r="DO6" s="12">
        <f>'4'!$Z$40</f>
        <v>0</v>
      </c>
      <c r="DP6" s="12">
        <f>'4'!$AD$40</f>
        <v>0</v>
      </c>
      <c r="DQ6" s="12">
        <f>MonitorProjetos!K56</f>
        <v>0</v>
      </c>
      <c r="DR6" s="12">
        <f>MonitorProjetos!L56</f>
        <v>0</v>
      </c>
      <c r="DS6" s="12">
        <f>MonitorProjetos!M56</f>
        <v>0</v>
      </c>
      <c r="DT6" s="12">
        <f>MonitorProjetos!$G$56</f>
        <v>0</v>
      </c>
      <c r="DU6" s="12" t="str">
        <f ca="1">MonitorProjetos!$E$56</f>
        <v/>
      </c>
      <c r="DV6" s="12">
        <f>MonitorProjetos!$I$56</f>
        <v>0</v>
      </c>
      <c r="DW6" s="12" t="str">
        <f ca="1">MonitorProjetos!$J$56</f>
        <v/>
      </c>
      <c r="DX6" s="12">
        <f>MonitorProjetos!$F$56</f>
        <v>0</v>
      </c>
      <c r="DY6">
        <f>'4'!$B$41</f>
        <v>0</v>
      </c>
      <c r="DZ6" s="12">
        <f>'4'!$Z$41</f>
        <v>0</v>
      </c>
      <c r="EA6" s="12">
        <f>'4'!$AD$41</f>
        <v>0</v>
      </c>
      <c r="EB6" s="12">
        <f>MonitorProjetos!K57</f>
        <v>0</v>
      </c>
      <c r="EC6" s="12">
        <f>MonitorProjetos!L57</f>
        <v>0</v>
      </c>
      <c r="ED6" s="12">
        <f>MonitorProjetos!M57</f>
        <v>0</v>
      </c>
      <c r="EE6" s="12">
        <f>MonitorProjetos!$G$57</f>
        <v>0</v>
      </c>
      <c r="EF6" s="12" t="str">
        <f ca="1">MonitorProjetos!$E$57</f>
        <v/>
      </c>
      <c r="EG6" s="12">
        <f>MonitorProjetos!$I$57</f>
        <v>0</v>
      </c>
      <c r="EH6" s="12" t="str">
        <f ca="1">MonitorProjetos!$J$57</f>
        <v/>
      </c>
      <c r="EI6" s="12">
        <f>MonitorProjetos!$F$57</f>
        <v>0</v>
      </c>
    </row>
    <row r="7" spans="1:139" hidden="1" x14ac:dyDescent="0.25">
      <c r="A7" s="52">
        <f t="shared" si="1"/>
        <v>5</v>
      </c>
      <c r="B7">
        <f>'5'!$H$8</f>
        <v>0</v>
      </c>
      <c r="C7">
        <f>'5'!$R$8</f>
        <v>0</v>
      </c>
      <c r="D7">
        <f>'5'!$Z$8</f>
        <v>0</v>
      </c>
      <c r="E7" t="str">
        <f>'5'!$H$6</f>
        <v>&lt;Nome curto / apelido / código do projeto &gt;</v>
      </c>
      <c r="F7" t="str">
        <f>'5'!$H$7</f>
        <v>&lt;indicar iniciativas do PO que o projeto contribui &gt;</v>
      </c>
      <c r="G7">
        <f>'5'!$M$7</f>
        <v>0</v>
      </c>
      <c r="H7">
        <f>'5'!$R$7</f>
        <v>0</v>
      </c>
      <c r="I7">
        <f>'5'!$X$7</f>
        <v>0</v>
      </c>
      <c r="J7">
        <f>'5'!$AD$7</f>
        <v>0</v>
      </c>
      <c r="K7" t="str">
        <f>'5'!$H$10</f>
        <v>&lt; servidor com a responsabilidade de planejar e controlar a execução do projeto &gt;</v>
      </c>
      <c r="L7" t="str">
        <f>'5'!$H$6</f>
        <v>&lt;Nome curto / apelido / código do projeto &gt;</v>
      </c>
      <c r="M7">
        <f t="shared" si="0"/>
        <v>5</v>
      </c>
      <c r="N7" s="12">
        <f>'5'!$H$11</f>
        <v>0</v>
      </c>
      <c r="O7" s="13">
        <f>'5'!$AB$11</f>
        <v>0</v>
      </c>
      <c r="P7" t="str">
        <f>'5'!$I$12</f>
        <v>Fulano da Silva</v>
      </c>
      <c r="Q7">
        <f>'5'!$AD$12</f>
        <v>12345</v>
      </c>
      <c r="R7">
        <f>'5'!$I$13</f>
        <v>0</v>
      </c>
      <c r="S7">
        <f>'5'!$AD$13</f>
        <v>0</v>
      </c>
      <c r="T7">
        <f>'5'!$I$14</f>
        <v>0</v>
      </c>
      <c r="U7">
        <f>'5'!$AD$14</f>
        <v>0</v>
      </c>
      <c r="V7">
        <f>'5'!$I$15</f>
        <v>0</v>
      </c>
      <c r="W7">
        <f>'5'!$AD$15</f>
        <v>0</v>
      </c>
      <c r="X7">
        <f>'5'!$I$16</f>
        <v>0</v>
      </c>
      <c r="Y7">
        <f>'5'!$AD$16</f>
        <v>0</v>
      </c>
      <c r="Z7">
        <f>'5'!$I$17</f>
        <v>0</v>
      </c>
      <c r="AA7">
        <f>'5'!$AD$17</f>
        <v>0</v>
      </c>
      <c r="AB7">
        <f>'5'!$I$18</f>
        <v>0</v>
      </c>
      <c r="AC7">
        <f>'5'!$AD$18</f>
        <v>0</v>
      </c>
      <c r="AD7">
        <f>'5'!$B$32</f>
        <v>0</v>
      </c>
      <c r="AE7" s="12">
        <f>'5'!$Z$32</f>
        <v>0</v>
      </c>
      <c r="AF7" s="12">
        <f>'5'!$AD$32</f>
        <v>0</v>
      </c>
      <c r="AG7" s="12">
        <f>MonitorProjetos!K62</f>
        <v>0</v>
      </c>
      <c r="AH7" s="12">
        <f>MonitorProjetos!L62</f>
        <v>0</v>
      </c>
      <c r="AI7" s="12">
        <f>MonitorProjetos!M62</f>
        <v>0</v>
      </c>
      <c r="AJ7" s="12">
        <f>MonitorProjetos!$G$62</f>
        <v>0</v>
      </c>
      <c r="AK7" s="12" t="str">
        <f ca="1">MonitorProjetos!$E$62</f>
        <v/>
      </c>
      <c r="AL7" s="12">
        <f>MonitorProjetos!$I$62</f>
        <v>43647</v>
      </c>
      <c r="AM7" s="12" t="str">
        <f ca="1">MonitorProjetos!$J$62</f>
        <v/>
      </c>
      <c r="AN7" s="12" t="str">
        <f>MonitorProjetos!$F$62</f>
        <v>f</v>
      </c>
      <c r="AO7">
        <f>'5'!$B$33</f>
        <v>0</v>
      </c>
      <c r="AP7" s="12">
        <f>'5'!$Z$33</f>
        <v>0</v>
      </c>
      <c r="AQ7" s="12">
        <f>'5'!$AD$33</f>
        <v>0</v>
      </c>
      <c r="AR7" s="12">
        <f>MonitorProjetos!K11</f>
        <v>0</v>
      </c>
      <c r="AS7" s="12">
        <f>MonitorProjetos!L63</f>
        <v>0</v>
      </c>
      <c r="AT7" s="35">
        <f>MonitorProjetos!M63</f>
        <v>0</v>
      </c>
      <c r="AU7" s="35">
        <f>MonitorProjetos!$G$63</f>
        <v>0</v>
      </c>
      <c r="AV7" s="35" t="str">
        <f ca="1">MonitorProjetos!$E$63</f>
        <v/>
      </c>
      <c r="AW7" s="35">
        <f>MonitorProjetos!$I$63</f>
        <v>0</v>
      </c>
      <c r="AX7" s="35" t="str">
        <f ca="1">MonitorProjetos!$J$63</f>
        <v/>
      </c>
      <c r="AY7" s="35">
        <f>MonitorProjetos!$F$63</f>
        <v>0</v>
      </c>
      <c r="AZ7">
        <f>'5'!$B$34</f>
        <v>0</v>
      </c>
      <c r="BA7" s="12">
        <f>'5'!$Z$34</f>
        <v>0</v>
      </c>
      <c r="BB7" s="12">
        <f>'5'!$AD$34</f>
        <v>0</v>
      </c>
      <c r="BC7" s="12">
        <f>MonitorProjetos!K64</f>
        <v>0</v>
      </c>
      <c r="BD7" s="12">
        <f>MonitorProjetos!L64</f>
        <v>0</v>
      </c>
      <c r="BE7" s="12">
        <f>MonitorProjetos!M64</f>
        <v>0</v>
      </c>
      <c r="BF7" s="12">
        <f>MonitorProjetos!$G$64</f>
        <v>0</v>
      </c>
      <c r="BG7" s="12" t="str">
        <f ca="1">MonitorProjetos!$E$64</f>
        <v/>
      </c>
      <c r="BH7" s="12">
        <f>MonitorProjetos!$I$64</f>
        <v>0</v>
      </c>
      <c r="BI7" s="12" t="str">
        <f ca="1">MonitorProjetos!$J$64</f>
        <v/>
      </c>
      <c r="BJ7" s="12">
        <f>MonitorProjetos!$F$64</f>
        <v>0</v>
      </c>
      <c r="BK7">
        <f>'5'!$B$35</f>
        <v>0</v>
      </c>
      <c r="BL7" s="12">
        <f>'5'!$Z$35</f>
        <v>0</v>
      </c>
      <c r="BM7" s="12">
        <f>'5'!$AD$35</f>
        <v>0</v>
      </c>
      <c r="BN7" s="12">
        <f>MonitorProjetos!K65</f>
        <v>0</v>
      </c>
      <c r="BO7" s="12">
        <f>MonitorProjetos!L65</f>
        <v>0</v>
      </c>
      <c r="BP7" s="12">
        <f>MonitorProjetos!M65</f>
        <v>0</v>
      </c>
      <c r="BQ7" s="12">
        <f>MonitorProjetos!$G$65</f>
        <v>0</v>
      </c>
      <c r="BR7" s="12" t="str">
        <f ca="1">MonitorProjetos!$E$65</f>
        <v/>
      </c>
      <c r="BS7" s="12">
        <f>MonitorProjetos!$I$65</f>
        <v>0</v>
      </c>
      <c r="BT7" s="12" t="str">
        <f ca="1">MonitorProjetos!$J$65</f>
        <v/>
      </c>
      <c r="BU7" s="12">
        <f>MonitorProjetos!$F$65</f>
        <v>0</v>
      </c>
      <c r="BV7">
        <f>'5'!$B$36</f>
        <v>0</v>
      </c>
      <c r="BW7" s="12">
        <f>'5'!$Z$36</f>
        <v>0</v>
      </c>
      <c r="BX7" s="12">
        <f>'5'!$AD$36</f>
        <v>0</v>
      </c>
      <c r="BY7" s="12">
        <f>MonitorProjetos!K66</f>
        <v>0</v>
      </c>
      <c r="BZ7" s="12">
        <f>MonitorProjetos!L66</f>
        <v>0</v>
      </c>
      <c r="CA7" s="12">
        <f>MonitorProjetos!M66</f>
        <v>0</v>
      </c>
      <c r="CB7" s="12">
        <f>MonitorProjetos!$G$66</f>
        <v>0</v>
      </c>
      <c r="CC7" s="12" t="str">
        <f ca="1">MonitorProjetos!$E$66</f>
        <v/>
      </c>
      <c r="CD7" s="12">
        <f>MonitorProjetos!$I$66</f>
        <v>0</v>
      </c>
      <c r="CE7" s="12" t="str">
        <f ca="1">MonitorProjetos!$J$66</f>
        <v/>
      </c>
      <c r="CF7" s="12">
        <f>MonitorProjetos!$F$66</f>
        <v>0</v>
      </c>
      <c r="CG7">
        <f>'5'!$B$37</f>
        <v>0</v>
      </c>
      <c r="CH7" s="12">
        <f>'5'!$Z$37</f>
        <v>0</v>
      </c>
      <c r="CI7" s="12">
        <f>'5'!$AD$37</f>
        <v>0</v>
      </c>
      <c r="CJ7" s="12">
        <f>MonitorProjetos!K67</f>
        <v>0</v>
      </c>
      <c r="CK7" s="12">
        <f>MonitorProjetos!L67</f>
        <v>0</v>
      </c>
      <c r="CL7" s="12">
        <f>MonitorProjetos!M67</f>
        <v>0</v>
      </c>
      <c r="CM7" s="12">
        <f>MonitorProjetos!$G$67</f>
        <v>0</v>
      </c>
      <c r="CN7" s="12" t="str">
        <f ca="1">MonitorProjetos!$E$67</f>
        <v/>
      </c>
      <c r="CO7" s="12">
        <f>MonitorProjetos!$I$67</f>
        <v>0</v>
      </c>
      <c r="CP7" s="12" t="str">
        <f ca="1">MonitorProjetos!$J$67</f>
        <v/>
      </c>
      <c r="CQ7" s="12">
        <f>MonitorProjetos!$F$67</f>
        <v>0</v>
      </c>
      <c r="CR7">
        <f>'5'!$B$38</f>
        <v>0</v>
      </c>
      <c r="CS7" s="12">
        <f>'5'!$Z$38</f>
        <v>0</v>
      </c>
      <c r="CT7" s="12">
        <f>'5'!$AD$38</f>
        <v>0</v>
      </c>
      <c r="CU7" s="12">
        <f>MonitorProjetos!K68</f>
        <v>0</v>
      </c>
      <c r="CV7" s="12">
        <f>MonitorProjetos!L68</f>
        <v>0</v>
      </c>
      <c r="CW7" s="12">
        <f>MonitorProjetos!M68</f>
        <v>0</v>
      </c>
      <c r="CX7" s="12">
        <f>MonitorProjetos!$G$68</f>
        <v>0</v>
      </c>
      <c r="CY7" s="12" t="str">
        <f ca="1">MonitorProjetos!$E$68</f>
        <v/>
      </c>
      <c r="CZ7" s="12">
        <f>MonitorProjetos!$I$68</f>
        <v>0</v>
      </c>
      <c r="DA7" s="12" t="str">
        <f ca="1">MonitorProjetos!$J$68</f>
        <v/>
      </c>
      <c r="DB7" s="12">
        <f>MonitorProjetos!$F$68</f>
        <v>0</v>
      </c>
      <c r="DC7">
        <f>'5'!$B$39</f>
        <v>0</v>
      </c>
      <c r="DD7" s="12">
        <f>'5'!$Z$39</f>
        <v>0</v>
      </c>
      <c r="DE7" s="12">
        <f>'5'!$AD$39</f>
        <v>0</v>
      </c>
      <c r="DF7" s="12">
        <f>MonitorProjetos!K69</f>
        <v>0</v>
      </c>
      <c r="DG7" s="12">
        <f>MonitorProjetos!L69</f>
        <v>0</v>
      </c>
      <c r="DH7" s="12">
        <f>MonitorProjetos!M69</f>
        <v>0</v>
      </c>
      <c r="DI7" s="12">
        <f>MonitorProjetos!$G$69</f>
        <v>0</v>
      </c>
      <c r="DJ7" s="12" t="str">
        <f ca="1">MonitorProjetos!$E$69</f>
        <v/>
      </c>
      <c r="DK7" s="12">
        <f>MonitorProjetos!$I$69</f>
        <v>0</v>
      </c>
      <c r="DL7" s="12" t="str">
        <f ca="1">MonitorProjetos!$J$69</f>
        <v/>
      </c>
      <c r="DM7" s="12">
        <f>MonitorProjetos!$F$69</f>
        <v>0</v>
      </c>
      <c r="DN7">
        <f>'5'!$B$40</f>
        <v>0</v>
      </c>
      <c r="DO7" s="12">
        <f>'5'!$Z$40</f>
        <v>0</v>
      </c>
      <c r="DP7" s="12">
        <f>'5'!$AD$40</f>
        <v>0</v>
      </c>
      <c r="DQ7" s="12">
        <f>MonitorProjetos!K70</f>
        <v>0</v>
      </c>
      <c r="DR7" s="12">
        <f>MonitorProjetos!L70</f>
        <v>0</v>
      </c>
      <c r="DS7" s="12">
        <f>MonitorProjetos!M70</f>
        <v>0</v>
      </c>
      <c r="DT7" s="12">
        <f>MonitorProjetos!$G$70</f>
        <v>0</v>
      </c>
      <c r="DU7" s="12" t="str">
        <f ca="1">MonitorProjetos!$E$70</f>
        <v/>
      </c>
      <c r="DV7" s="12">
        <f>MonitorProjetos!$I$70</f>
        <v>0</v>
      </c>
      <c r="DW7" s="12" t="str">
        <f ca="1">MonitorProjetos!$J$70</f>
        <v/>
      </c>
      <c r="DX7" s="12">
        <f>MonitorProjetos!$F$70</f>
        <v>0</v>
      </c>
      <c r="DY7">
        <f>'5'!$B$41</f>
        <v>0</v>
      </c>
      <c r="DZ7" s="12">
        <f>'5'!$Z$41</f>
        <v>0</v>
      </c>
      <c r="EA7" s="12">
        <f>'5'!$AD$41</f>
        <v>0</v>
      </c>
      <c r="EB7" s="12">
        <f>MonitorProjetos!K71</f>
        <v>0</v>
      </c>
      <c r="EC7" s="12">
        <f>MonitorProjetos!L71</f>
        <v>0</v>
      </c>
      <c r="ED7" s="12">
        <f>MonitorProjetos!M71</f>
        <v>0</v>
      </c>
      <c r="EE7" s="12">
        <f>MonitorProjetos!$G$71</f>
        <v>0</v>
      </c>
      <c r="EF7" s="12" t="str">
        <f ca="1">MonitorProjetos!$E$71</f>
        <v/>
      </c>
      <c r="EG7" s="12">
        <f>MonitorProjetos!$I$71</f>
        <v>0</v>
      </c>
      <c r="EH7" s="12" t="str">
        <f ca="1">MonitorProjetos!$J$71</f>
        <v/>
      </c>
      <c r="EI7" s="12">
        <f>MonitorProjetos!$F$71</f>
        <v>0</v>
      </c>
    </row>
    <row r="8" spans="1:139" hidden="1" x14ac:dyDescent="0.25">
      <c r="A8" s="52">
        <f t="shared" si="1"/>
        <v>6</v>
      </c>
      <c r="B8">
        <f>'6'!$H$8</f>
        <v>0</v>
      </c>
      <c r="C8">
        <f>'6'!$R$8</f>
        <v>0</v>
      </c>
      <c r="D8">
        <f>'6'!$Z$8</f>
        <v>0</v>
      </c>
      <c r="E8" t="str">
        <f>'6'!$H$6</f>
        <v>&lt;Nome curto / apelido / código do projeto &gt;</v>
      </c>
      <c r="F8" t="str">
        <f>'6'!$H$7</f>
        <v>&lt;indicar iniciativas do PO que o projeto contribui &gt;</v>
      </c>
      <c r="G8">
        <f>'6'!$M$7</f>
        <v>0</v>
      </c>
      <c r="H8">
        <f>'6'!$R$7</f>
        <v>0</v>
      </c>
      <c r="I8">
        <f>'6'!$X$7</f>
        <v>0</v>
      </c>
      <c r="J8">
        <f>'6'!$AD$7</f>
        <v>0</v>
      </c>
      <c r="K8" t="str">
        <f>'6'!$H$10</f>
        <v>&lt; servidor com a responsabilidade de planejar e controlar a execução do projeto &gt;</v>
      </c>
      <c r="L8" t="str">
        <f>'6'!$H$6</f>
        <v>&lt;Nome curto / apelido / código do projeto &gt;</v>
      </c>
      <c r="M8">
        <f t="shared" si="0"/>
        <v>6</v>
      </c>
      <c r="N8" s="12">
        <f>'6'!$H$11</f>
        <v>0</v>
      </c>
      <c r="O8" s="13">
        <f>'6'!$AB$11</f>
        <v>0</v>
      </c>
      <c r="P8" t="str">
        <f>'6'!$I$12</f>
        <v>Fulano da Silva</v>
      </c>
      <c r="Q8">
        <f>'6'!$AD$12</f>
        <v>12345</v>
      </c>
      <c r="R8">
        <f>'6'!$I$13</f>
        <v>0</v>
      </c>
      <c r="S8">
        <f>'6'!$AD$13</f>
        <v>0</v>
      </c>
      <c r="T8">
        <f>'6'!$I$14</f>
        <v>0</v>
      </c>
      <c r="U8">
        <f>'6'!$AD$14</f>
        <v>0</v>
      </c>
      <c r="V8">
        <f>'6'!$I$15</f>
        <v>0</v>
      </c>
      <c r="W8">
        <f>'6'!$AD$15</f>
        <v>0</v>
      </c>
      <c r="X8">
        <f>'6'!$I$16</f>
        <v>0</v>
      </c>
      <c r="Y8">
        <f>'6'!$AD$16</f>
        <v>0</v>
      </c>
      <c r="Z8">
        <f>'6'!$I$17</f>
        <v>0</v>
      </c>
      <c r="AA8">
        <f>'6'!$AD$17</f>
        <v>0</v>
      </c>
      <c r="AB8">
        <f>'6'!$I$18</f>
        <v>0</v>
      </c>
      <c r="AC8">
        <f>'6'!$AD$18</f>
        <v>0</v>
      </c>
      <c r="AD8">
        <f>'6'!$B$32</f>
        <v>0</v>
      </c>
      <c r="AE8" s="12">
        <f>'6'!$Z$32</f>
        <v>0</v>
      </c>
      <c r="AF8" s="12">
        <f>'6'!$AD$32</f>
        <v>0</v>
      </c>
      <c r="AG8" s="12">
        <f>MonitorProjetos!K76</f>
        <v>0</v>
      </c>
      <c r="AH8" s="12">
        <f>MonitorProjetos!L76</f>
        <v>0</v>
      </c>
      <c r="AI8" s="12">
        <f>MonitorProjetos!M76</f>
        <v>0</v>
      </c>
      <c r="AJ8" s="12">
        <f>MonitorProjetos!$G$76</f>
        <v>0</v>
      </c>
      <c r="AK8" s="12" t="str">
        <f ca="1">MonitorProjetos!$E$76</f>
        <v/>
      </c>
      <c r="AL8" s="12">
        <f>MonitorProjetos!$I$76</f>
        <v>43647</v>
      </c>
      <c r="AM8" s="12" t="str">
        <f ca="1">MonitorProjetos!$J$76</f>
        <v/>
      </c>
      <c r="AN8" s="12" t="str">
        <f>MonitorProjetos!$F$76</f>
        <v>f</v>
      </c>
      <c r="AO8">
        <f>'6'!$B$33</f>
        <v>0</v>
      </c>
      <c r="AP8" s="12">
        <f>'6'!$Z$33</f>
        <v>0</v>
      </c>
      <c r="AQ8" s="12">
        <f>'6'!$AD$33</f>
        <v>0</v>
      </c>
      <c r="AR8" s="12">
        <f>MonitorProjetos!K12</f>
        <v>0</v>
      </c>
      <c r="AS8" s="12">
        <f>MonitorProjetos!L77</f>
        <v>0</v>
      </c>
      <c r="AT8" s="35">
        <f>MonitorProjetos!M77</f>
        <v>0</v>
      </c>
      <c r="AU8" s="35">
        <f>MonitorProjetos!$G$77</f>
        <v>0</v>
      </c>
      <c r="AV8" s="35" t="str">
        <f ca="1">MonitorProjetos!$E$77</f>
        <v/>
      </c>
      <c r="AW8" s="35">
        <f>MonitorProjetos!$I$77</f>
        <v>0</v>
      </c>
      <c r="AX8" s="35" t="str">
        <f ca="1">MonitorProjetos!$J$77</f>
        <v/>
      </c>
      <c r="AY8" s="35">
        <f>MonitorProjetos!$F$77</f>
        <v>0</v>
      </c>
      <c r="AZ8">
        <f>'6'!$B$34</f>
        <v>0</v>
      </c>
      <c r="BA8" s="12">
        <f>'6'!$Z$34</f>
        <v>0</v>
      </c>
      <c r="BB8" s="12">
        <f>'6'!$AD$34</f>
        <v>0</v>
      </c>
      <c r="BC8" s="12">
        <f>MonitorProjetos!K78</f>
        <v>0</v>
      </c>
      <c r="BD8" s="12">
        <f>MonitorProjetos!L78</f>
        <v>0</v>
      </c>
      <c r="BE8" s="12">
        <f>MonitorProjetos!M78</f>
        <v>0</v>
      </c>
      <c r="BF8" s="12">
        <f>MonitorProjetos!$G$78</f>
        <v>0</v>
      </c>
      <c r="BG8" s="12" t="str">
        <f ca="1">MonitorProjetos!$E$78</f>
        <v/>
      </c>
      <c r="BH8" s="12">
        <f>MonitorProjetos!$I$78</f>
        <v>0</v>
      </c>
      <c r="BI8" s="12" t="str">
        <f ca="1">MonitorProjetos!$J$78</f>
        <v/>
      </c>
      <c r="BJ8" s="12">
        <f>MonitorProjetos!$F$78</f>
        <v>0</v>
      </c>
      <c r="BK8">
        <f>'6'!$B$35</f>
        <v>0</v>
      </c>
      <c r="BL8" s="12">
        <f>'6'!$Z$35</f>
        <v>0</v>
      </c>
      <c r="BM8" s="12">
        <f>'6'!$AD$35</f>
        <v>0</v>
      </c>
      <c r="BN8" s="12">
        <f>MonitorProjetos!K79</f>
        <v>0</v>
      </c>
      <c r="BO8" s="12">
        <f>MonitorProjetos!L79</f>
        <v>0</v>
      </c>
      <c r="BP8" s="12">
        <f>MonitorProjetos!M79</f>
        <v>0</v>
      </c>
      <c r="BQ8" s="12">
        <f>MonitorProjetos!$G$79</f>
        <v>0</v>
      </c>
      <c r="BR8" s="12" t="str">
        <f ca="1">MonitorProjetos!$E$79</f>
        <v/>
      </c>
      <c r="BS8" s="12">
        <f>MonitorProjetos!$I$79</f>
        <v>0</v>
      </c>
      <c r="BT8" s="12" t="str">
        <f ca="1">MonitorProjetos!$J$79</f>
        <v/>
      </c>
      <c r="BU8" s="12">
        <f>MonitorProjetos!$F$79</f>
        <v>0</v>
      </c>
      <c r="BV8">
        <f>'6'!$B$36</f>
        <v>0</v>
      </c>
      <c r="BW8" s="12">
        <f>'6'!$Z$36</f>
        <v>0</v>
      </c>
      <c r="BX8" s="12">
        <f>'6'!$AD$36</f>
        <v>0</v>
      </c>
      <c r="BY8" s="12">
        <f>MonitorProjetos!K80</f>
        <v>0</v>
      </c>
      <c r="BZ8" s="12">
        <f>MonitorProjetos!L80</f>
        <v>0</v>
      </c>
      <c r="CA8" s="12">
        <f>MonitorProjetos!M80</f>
        <v>0</v>
      </c>
      <c r="CB8" s="12">
        <f>MonitorProjetos!$G$80</f>
        <v>0</v>
      </c>
      <c r="CC8" s="12" t="str">
        <f ca="1">MonitorProjetos!$E$80</f>
        <v/>
      </c>
      <c r="CD8" s="12">
        <f>MonitorProjetos!$I$80</f>
        <v>0</v>
      </c>
      <c r="CE8" s="12" t="str">
        <f ca="1">MonitorProjetos!$J$80</f>
        <v/>
      </c>
      <c r="CF8" s="12">
        <f>MonitorProjetos!$F$80</f>
        <v>0</v>
      </c>
      <c r="CG8">
        <f>'6'!$B$37</f>
        <v>0</v>
      </c>
      <c r="CH8" s="12">
        <f>'6'!$Z$37</f>
        <v>0</v>
      </c>
      <c r="CI8" s="12">
        <f>'6'!$AD$37</f>
        <v>0</v>
      </c>
      <c r="CJ8" s="12">
        <f>MonitorProjetos!K81</f>
        <v>0</v>
      </c>
      <c r="CK8" s="12">
        <f>MonitorProjetos!L81</f>
        <v>0</v>
      </c>
      <c r="CL8" s="12">
        <f>MonitorProjetos!M81</f>
        <v>0</v>
      </c>
      <c r="CM8" s="12">
        <f>MonitorProjetos!$G$81</f>
        <v>0</v>
      </c>
      <c r="CN8" s="12" t="str">
        <f ca="1">MonitorProjetos!$E$81</f>
        <v/>
      </c>
      <c r="CO8" s="12">
        <f>MonitorProjetos!$I$81</f>
        <v>0</v>
      </c>
      <c r="CP8" s="12" t="str">
        <f ca="1">MonitorProjetos!$J$81</f>
        <v/>
      </c>
      <c r="CQ8" s="12">
        <f>MonitorProjetos!$F$81</f>
        <v>0</v>
      </c>
      <c r="CR8">
        <f>'6'!$B$38</f>
        <v>0</v>
      </c>
      <c r="CS8" s="12">
        <f>'6'!$Z$38</f>
        <v>0</v>
      </c>
      <c r="CT8" s="12">
        <f>'6'!$AD$38</f>
        <v>0</v>
      </c>
      <c r="CU8" s="12">
        <f>MonitorProjetos!K82</f>
        <v>0</v>
      </c>
      <c r="CV8" s="12">
        <f>MonitorProjetos!L82</f>
        <v>0</v>
      </c>
      <c r="CW8" s="12">
        <f>MonitorProjetos!M82</f>
        <v>0</v>
      </c>
      <c r="CX8" s="12">
        <f>MonitorProjetos!$G$82</f>
        <v>0</v>
      </c>
      <c r="CY8" s="12" t="str">
        <f ca="1">MonitorProjetos!$E$82</f>
        <v/>
      </c>
      <c r="CZ8" s="12">
        <f>MonitorProjetos!$I$82</f>
        <v>0</v>
      </c>
      <c r="DA8" s="12" t="str">
        <f ca="1">MonitorProjetos!$J$82</f>
        <v/>
      </c>
      <c r="DB8" s="12">
        <f>MonitorProjetos!$F$82</f>
        <v>0</v>
      </c>
      <c r="DC8">
        <f>'6'!$B$39</f>
        <v>0</v>
      </c>
      <c r="DD8" s="12">
        <f>'6'!$Z$39</f>
        <v>0</v>
      </c>
      <c r="DE8" s="12">
        <f>'6'!$AD$39</f>
        <v>0</v>
      </c>
      <c r="DF8" s="12">
        <f>MonitorProjetos!K83</f>
        <v>0</v>
      </c>
      <c r="DG8" s="12">
        <f>MonitorProjetos!L83</f>
        <v>0</v>
      </c>
      <c r="DH8" s="12">
        <f>MonitorProjetos!M83</f>
        <v>0</v>
      </c>
      <c r="DI8" s="12">
        <f>MonitorProjetos!$G$83</f>
        <v>0</v>
      </c>
      <c r="DJ8" s="12" t="str">
        <f ca="1">MonitorProjetos!$E$83</f>
        <v/>
      </c>
      <c r="DK8" s="12">
        <f>MonitorProjetos!$I$83</f>
        <v>0</v>
      </c>
      <c r="DL8" s="12" t="str">
        <f ca="1">MonitorProjetos!$J$83</f>
        <v/>
      </c>
      <c r="DM8" s="12">
        <f>MonitorProjetos!$F$83</f>
        <v>0</v>
      </c>
      <c r="DN8">
        <f>'6'!$B$40</f>
        <v>0</v>
      </c>
      <c r="DO8" s="12">
        <f>'6'!$Z$40</f>
        <v>0</v>
      </c>
      <c r="DP8" s="12">
        <f>'6'!$AD$40</f>
        <v>0</v>
      </c>
      <c r="DQ8" s="12">
        <f>MonitorProjetos!K84</f>
        <v>0</v>
      </c>
      <c r="DR8" s="12">
        <f>MonitorProjetos!L84</f>
        <v>0</v>
      </c>
      <c r="DS8" s="12">
        <f>MonitorProjetos!M84</f>
        <v>0</v>
      </c>
      <c r="DT8" s="12">
        <f>MonitorProjetos!$G$84</f>
        <v>0</v>
      </c>
      <c r="DU8" s="12" t="str">
        <f ca="1">MonitorProjetos!$E$84</f>
        <v/>
      </c>
      <c r="DV8" s="12">
        <f>MonitorProjetos!$I$84</f>
        <v>0</v>
      </c>
      <c r="DW8" s="12" t="str">
        <f ca="1">MonitorProjetos!$J$84</f>
        <v/>
      </c>
      <c r="DX8" s="12">
        <f>MonitorProjetos!$F$84</f>
        <v>0</v>
      </c>
      <c r="DY8">
        <f>'6'!$B$41</f>
        <v>0</v>
      </c>
      <c r="DZ8" s="12">
        <f>'6'!$Z$41</f>
        <v>0</v>
      </c>
      <c r="EA8" s="12">
        <f>'6'!$AD$41</f>
        <v>0</v>
      </c>
      <c r="EB8" s="12">
        <f>MonitorProjetos!K85</f>
        <v>0</v>
      </c>
      <c r="EC8" s="12">
        <f>MonitorProjetos!L85</f>
        <v>0</v>
      </c>
      <c r="ED8" s="12">
        <f>MonitorProjetos!M85</f>
        <v>0</v>
      </c>
      <c r="EE8" s="12">
        <f>MonitorProjetos!$G$85</f>
        <v>0</v>
      </c>
      <c r="EF8" s="12" t="str">
        <f ca="1">MonitorProjetos!$E$85</f>
        <v/>
      </c>
      <c r="EG8" s="12">
        <f>MonitorProjetos!$I$85</f>
        <v>0</v>
      </c>
      <c r="EH8" s="12" t="str">
        <f ca="1">MonitorProjetos!$J$85</f>
        <v/>
      </c>
      <c r="EI8" s="12">
        <f>MonitorProjetos!$F$85</f>
        <v>0</v>
      </c>
    </row>
    <row r="9" spans="1:139" hidden="1" x14ac:dyDescent="0.25">
      <c r="A9" s="52">
        <f t="shared" si="1"/>
        <v>7</v>
      </c>
      <c r="B9">
        <f>'7'!$H$8</f>
        <v>0</v>
      </c>
      <c r="C9">
        <f>'7'!$R$8</f>
        <v>0</v>
      </c>
      <c r="D9">
        <f>'7'!$Z$8</f>
        <v>0</v>
      </c>
      <c r="E9" t="str">
        <f>'7'!$H$6</f>
        <v>&lt;Nome curto / apelido / código do projeto &gt;</v>
      </c>
      <c r="F9" t="str">
        <f>'7'!$H$7</f>
        <v>&lt;indicar iniciativas do PO que o projeto contribui &gt;</v>
      </c>
      <c r="G9">
        <f>'7'!$M$7</f>
        <v>0</v>
      </c>
      <c r="H9">
        <f>'7'!$R$7</f>
        <v>0</v>
      </c>
      <c r="I9">
        <f>'7'!$X$7</f>
        <v>0</v>
      </c>
      <c r="J9">
        <f>'7'!$AD$7</f>
        <v>0</v>
      </c>
      <c r="K9" t="str">
        <f>'7'!$H$10</f>
        <v>&lt; servidor com a responsabilidade de planejar e controlar a execução do projeto &gt;</v>
      </c>
      <c r="L9" t="str">
        <f>'7'!$H$6</f>
        <v>&lt;Nome curto / apelido / código do projeto &gt;</v>
      </c>
      <c r="M9">
        <f t="shared" si="0"/>
        <v>7</v>
      </c>
      <c r="N9" s="12">
        <f>'7'!$H$11</f>
        <v>0</v>
      </c>
      <c r="O9" s="13">
        <f>'7'!$AB$11</f>
        <v>0</v>
      </c>
      <c r="P9" t="str">
        <f>'7'!$I$12</f>
        <v>Fulano da Silva</v>
      </c>
      <c r="Q9">
        <f>'7'!$AD$12</f>
        <v>12345</v>
      </c>
      <c r="R9">
        <f>'7'!$I$13</f>
        <v>0</v>
      </c>
      <c r="S9">
        <f>'7'!$AD$13</f>
        <v>0</v>
      </c>
      <c r="T9">
        <f>'7'!$I$14</f>
        <v>0</v>
      </c>
      <c r="U9">
        <f>'7'!$AD$14</f>
        <v>0</v>
      </c>
      <c r="V9">
        <f>'7'!$I$15</f>
        <v>0</v>
      </c>
      <c r="W9">
        <f>'7'!$AD$15</f>
        <v>0</v>
      </c>
      <c r="X9">
        <f>'7'!$I$16</f>
        <v>0</v>
      </c>
      <c r="Y9">
        <f>'7'!$AD$16</f>
        <v>0</v>
      </c>
      <c r="Z9">
        <f>'7'!$I$17</f>
        <v>0</v>
      </c>
      <c r="AA9">
        <f>'7'!$AD$17</f>
        <v>0</v>
      </c>
      <c r="AB9">
        <f>'7'!$I$18</f>
        <v>0</v>
      </c>
      <c r="AC9">
        <f>'7'!$AD$18</f>
        <v>0</v>
      </c>
      <c r="AD9">
        <f>'7'!$B$32</f>
        <v>0</v>
      </c>
      <c r="AE9" s="12">
        <f>'7'!$Z$32</f>
        <v>0</v>
      </c>
      <c r="AF9" s="12">
        <f>'7'!$AD$32</f>
        <v>0</v>
      </c>
      <c r="AG9" s="12">
        <f>MonitorProjetos!K90</f>
        <v>43528</v>
      </c>
      <c r="AH9" s="12">
        <f>MonitorProjetos!L90</f>
        <v>43528</v>
      </c>
      <c r="AI9" s="12">
        <f>MonitorProjetos!M90</f>
        <v>0</v>
      </c>
      <c r="AJ9" s="12">
        <f>MonitorProjetos!$G$90</f>
        <v>0</v>
      </c>
      <c r="AK9" s="12" t="str">
        <f>MonitorProjetos!$E$90</f>
        <v>Concluída</v>
      </c>
      <c r="AL9" s="12" t="str">
        <f>MonitorProjetos!$I$90</f>
        <v>k</v>
      </c>
      <c r="AM9" s="12" t="e">
        <f>MonitorProjetos!$J$90</f>
        <v>#VALUE!</v>
      </c>
      <c r="AN9" s="12" t="str">
        <f>MonitorProjetos!$F$90</f>
        <v>j</v>
      </c>
      <c r="AO9">
        <f>'7'!$B$33</f>
        <v>0</v>
      </c>
      <c r="AP9" s="12">
        <f>'7'!$Z$33</f>
        <v>0</v>
      </c>
      <c r="AQ9" s="12">
        <f>'7'!$AD$33</f>
        <v>0</v>
      </c>
      <c r="AR9" s="12">
        <f>MonitorProjetos!K13</f>
        <v>0</v>
      </c>
      <c r="AS9" s="12">
        <f>MonitorProjetos!L91</f>
        <v>0</v>
      </c>
      <c r="AT9" s="35">
        <f>MonitorProjetos!M91</f>
        <v>0</v>
      </c>
      <c r="AU9" s="35">
        <f>MonitorProjetos!$G$91</f>
        <v>0</v>
      </c>
      <c r="AV9" s="35" t="str">
        <f ca="1">MonitorProjetos!$E$91</f>
        <v/>
      </c>
      <c r="AW9" s="35">
        <f>MonitorProjetos!$I$91</f>
        <v>0</v>
      </c>
      <c r="AX9" s="35" t="str">
        <f ca="1">MonitorProjetos!$J$91</f>
        <v/>
      </c>
      <c r="AY9" s="35">
        <f>MonitorProjetos!$F$91</f>
        <v>0</v>
      </c>
      <c r="AZ9">
        <f>'7'!$B$34</f>
        <v>0</v>
      </c>
      <c r="BA9" s="12">
        <f>'7'!$Z$34</f>
        <v>0</v>
      </c>
      <c r="BB9" s="12">
        <f>'7'!$AD$34</f>
        <v>0</v>
      </c>
      <c r="BC9" s="12">
        <f>MonitorProjetos!K92</f>
        <v>0</v>
      </c>
      <c r="BD9" s="12">
        <f>MonitorProjetos!L92</f>
        <v>0</v>
      </c>
      <c r="BE9" s="12">
        <f>MonitorProjetos!M92</f>
        <v>0</v>
      </c>
      <c r="BF9" s="12">
        <f>MonitorProjetos!$G$92</f>
        <v>0</v>
      </c>
      <c r="BG9" s="12" t="str">
        <f ca="1">MonitorProjetos!$E$92</f>
        <v/>
      </c>
      <c r="BH9" s="12">
        <f>MonitorProjetos!$I$92</f>
        <v>0</v>
      </c>
      <c r="BI9" s="12" t="str">
        <f ca="1">MonitorProjetos!$J$92</f>
        <v/>
      </c>
      <c r="BJ9" s="12">
        <f>MonitorProjetos!$F$92</f>
        <v>0</v>
      </c>
      <c r="BK9">
        <f>'7'!$B$35</f>
        <v>0</v>
      </c>
      <c r="BL9" s="12">
        <f>'7'!$Z$35</f>
        <v>0</v>
      </c>
      <c r="BM9" s="12">
        <f>'7'!$AD$35</f>
        <v>0</v>
      </c>
      <c r="BN9" s="12">
        <f>MonitorProjetos!K93</f>
        <v>0</v>
      </c>
      <c r="BO9" s="12">
        <f>MonitorProjetos!L93</f>
        <v>0</v>
      </c>
      <c r="BP9" s="12">
        <f>MonitorProjetos!M93</f>
        <v>0</v>
      </c>
      <c r="BQ9" s="12">
        <f>MonitorProjetos!$G$93</f>
        <v>0</v>
      </c>
      <c r="BR9" s="12" t="str">
        <f ca="1">MonitorProjetos!$E$93</f>
        <v/>
      </c>
      <c r="BS9" s="12">
        <f>MonitorProjetos!$I$93</f>
        <v>0</v>
      </c>
      <c r="BT9" s="12" t="str">
        <f ca="1">MonitorProjetos!$J$93</f>
        <v/>
      </c>
      <c r="BU9" s="12">
        <f>MonitorProjetos!$F$93</f>
        <v>0</v>
      </c>
      <c r="BV9">
        <f>'7'!$B$36</f>
        <v>0</v>
      </c>
      <c r="BW9" s="12">
        <f>'7'!$Z$36</f>
        <v>0</v>
      </c>
      <c r="BX9" s="12">
        <f>'7'!$AD$36</f>
        <v>0</v>
      </c>
      <c r="BY9" s="12">
        <f>MonitorProjetos!K94</f>
        <v>0</v>
      </c>
      <c r="BZ9" s="12">
        <f>MonitorProjetos!L94</f>
        <v>0</v>
      </c>
      <c r="CA9" s="12">
        <f>MonitorProjetos!M94</f>
        <v>0</v>
      </c>
      <c r="CB9" s="12">
        <f>MonitorProjetos!$G$94</f>
        <v>0</v>
      </c>
      <c r="CC9" s="12" t="str">
        <f ca="1">MonitorProjetos!$E$94</f>
        <v/>
      </c>
      <c r="CD9" s="12">
        <f>MonitorProjetos!$I$94</f>
        <v>0</v>
      </c>
      <c r="CE9" s="12" t="str">
        <f ca="1">MonitorProjetos!$J$94</f>
        <v/>
      </c>
      <c r="CF9" s="12">
        <f>MonitorProjetos!$F$94</f>
        <v>0</v>
      </c>
      <c r="CG9">
        <f>'7'!$B$37</f>
        <v>0</v>
      </c>
      <c r="CH9" s="12">
        <f>'7'!$Z$37</f>
        <v>0</v>
      </c>
      <c r="CI9" s="12">
        <f>'7'!$AD$37</f>
        <v>0</v>
      </c>
      <c r="CJ9" s="12">
        <f>MonitorProjetos!K95</f>
        <v>0</v>
      </c>
      <c r="CK9" s="12">
        <f>MonitorProjetos!L95</f>
        <v>0</v>
      </c>
      <c r="CL9" s="12">
        <f>MonitorProjetos!M95</f>
        <v>0</v>
      </c>
      <c r="CM9" s="12">
        <f>MonitorProjetos!$G$95</f>
        <v>0</v>
      </c>
      <c r="CN9" s="12" t="str">
        <f ca="1">MonitorProjetos!$E$95</f>
        <v/>
      </c>
      <c r="CO9" s="12">
        <f>MonitorProjetos!$I$95</f>
        <v>0</v>
      </c>
      <c r="CP9" s="12" t="str">
        <f ca="1">MonitorProjetos!$J$95</f>
        <v/>
      </c>
      <c r="CQ9" s="12">
        <f>MonitorProjetos!$F$95</f>
        <v>0</v>
      </c>
      <c r="CR9">
        <f>'7'!$B$38</f>
        <v>0</v>
      </c>
      <c r="CS9" s="12">
        <f>'7'!$Z$38</f>
        <v>0</v>
      </c>
      <c r="CT9" s="12">
        <f>'7'!$AD$38</f>
        <v>0</v>
      </c>
      <c r="CU9" s="12">
        <f>MonitorProjetos!K96</f>
        <v>0</v>
      </c>
      <c r="CV9" s="12">
        <f>MonitorProjetos!L96</f>
        <v>0</v>
      </c>
      <c r="CW9" s="12">
        <f>MonitorProjetos!M96</f>
        <v>0</v>
      </c>
      <c r="CX9" s="12">
        <f>MonitorProjetos!$G$96</f>
        <v>0</v>
      </c>
      <c r="CY9" s="12" t="str">
        <f ca="1">MonitorProjetos!$E$96</f>
        <v/>
      </c>
      <c r="CZ9" s="12">
        <f>MonitorProjetos!$I$96</f>
        <v>0</v>
      </c>
      <c r="DA9" s="12" t="str">
        <f ca="1">MonitorProjetos!$J$96</f>
        <v/>
      </c>
      <c r="DB9" s="12">
        <f>MonitorProjetos!$F$96</f>
        <v>0</v>
      </c>
      <c r="DC9">
        <f>'7'!$B$39</f>
        <v>0</v>
      </c>
      <c r="DD9" s="12">
        <f>'7'!$Z$39</f>
        <v>0</v>
      </c>
      <c r="DE9" s="12">
        <f>'7'!$AD$39</f>
        <v>0</v>
      </c>
      <c r="DF9" s="12">
        <f>MonitorProjetos!K97</f>
        <v>0</v>
      </c>
      <c r="DG9" s="12">
        <f>MonitorProjetos!L97</f>
        <v>0</v>
      </c>
      <c r="DH9" s="12">
        <f>MonitorProjetos!M97</f>
        <v>0</v>
      </c>
      <c r="DI9" s="12">
        <f>MonitorProjetos!$G$97</f>
        <v>0</v>
      </c>
      <c r="DJ9" s="12" t="str">
        <f ca="1">MonitorProjetos!$E$97</f>
        <v/>
      </c>
      <c r="DK9" s="12">
        <f>MonitorProjetos!$I$97</f>
        <v>0</v>
      </c>
      <c r="DL9" s="12" t="str">
        <f ca="1">MonitorProjetos!$J$97</f>
        <v/>
      </c>
      <c r="DM9" s="12">
        <f>MonitorProjetos!$F$97</f>
        <v>0</v>
      </c>
      <c r="DN9">
        <f>'7'!$B$40</f>
        <v>0</v>
      </c>
      <c r="DO9" s="12">
        <f>'7'!$Z$40</f>
        <v>0</v>
      </c>
      <c r="DP9" s="12">
        <f>'7'!$AD$40</f>
        <v>0</v>
      </c>
      <c r="DQ9" s="12">
        <f>MonitorProjetos!K98</f>
        <v>0</v>
      </c>
      <c r="DR9" s="12">
        <f>MonitorProjetos!L98</f>
        <v>0</v>
      </c>
      <c r="DS9" s="12">
        <f>MonitorProjetos!M98</f>
        <v>0</v>
      </c>
      <c r="DT9" s="12">
        <f>MonitorProjetos!$G$98</f>
        <v>0</v>
      </c>
      <c r="DU9" s="12" t="str">
        <f ca="1">MonitorProjetos!$E$98</f>
        <v/>
      </c>
      <c r="DV9" s="12">
        <f>MonitorProjetos!$I$98</f>
        <v>0</v>
      </c>
      <c r="DW9" s="12" t="str">
        <f ca="1">MonitorProjetos!$J$98</f>
        <v/>
      </c>
      <c r="DX9" s="12">
        <f>MonitorProjetos!$F$98</f>
        <v>0</v>
      </c>
      <c r="DY9">
        <f>'7'!$B$41</f>
        <v>0</v>
      </c>
      <c r="DZ9" s="12">
        <f>'7'!$Z$41</f>
        <v>0</v>
      </c>
      <c r="EA9" s="12">
        <f>'7'!$AD$41</f>
        <v>0</v>
      </c>
      <c r="EB9" s="12">
        <f>MonitorProjetos!K99</f>
        <v>0</v>
      </c>
      <c r="EC9" s="12">
        <f>MonitorProjetos!L99</f>
        <v>0</v>
      </c>
      <c r="ED9" s="12">
        <f>MonitorProjetos!M99</f>
        <v>0</v>
      </c>
      <c r="EE9" s="12">
        <f>MonitorProjetos!$G$99</f>
        <v>0</v>
      </c>
      <c r="EF9" s="12" t="str">
        <f ca="1">MonitorProjetos!$E$99</f>
        <v/>
      </c>
      <c r="EG9" s="12">
        <f>MonitorProjetos!$I$99</f>
        <v>0</v>
      </c>
      <c r="EH9" s="12" t="str">
        <f ca="1">MonitorProjetos!$J$99</f>
        <v/>
      </c>
      <c r="EI9" s="12">
        <f>MonitorProjetos!$F$99</f>
        <v>0</v>
      </c>
    </row>
    <row r="10" spans="1:139" hidden="1" x14ac:dyDescent="0.25">
      <c r="A10" s="52">
        <f t="shared" si="1"/>
        <v>8</v>
      </c>
      <c r="B10">
        <f>'8'!$H$8</f>
        <v>0</v>
      </c>
      <c r="C10">
        <f>'8'!$R$8</f>
        <v>0</v>
      </c>
      <c r="D10">
        <f>'8'!$Z$8</f>
        <v>0</v>
      </c>
      <c r="E10" t="str">
        <f>'8'!$H$6</f>
        <v>&lt;Nome curto / apelido / código do projeto &gt;</v>
      </c>
      <c r="F10" t="str">
        <f>'8'!$H$7</f>
        <v>&lt;indicar iniciativas do PO que o projeto contribui &gt;</v>
      </c>
      <c r="G10">
        <f>'8'!$M$7</f>
        <v>0</v>
      </c>
      <c r="H10">
        <f>'8'!$R$7</f>
        <v>0</v>
      </c>
      <c r="I10">
        <f>'8'!$X$7</f>
        <v>0</v>
      </c>
      <c r="J10">
        <f>'8'!$AD$7</f>
        <v>0</v>
      </c>
      <c r="K10" t="str">
        <f>'8'!$H$10</f>
        <v>&lt; servidor com a responsabilidade de planejar e controlar a execução do projeto &gt;</v>
      </c>
      <c r="L10" t="str">
        <f>'8'!$H$6</f>
        <v>&lt;Nome curto / apelido / código do projeto &gt;</v>
      </c>
      <c r="M10">
        <f t="shared" si="0"/>
        <v>8</v>
      </c>
      <c r="N10" s="12">
        <f>'8'!$H$11</f>
        <v>0</v>
      </c>
      <c r="O10" s="13">
        <f>'8'!$AB$11</f>
        <v>0</v>
      </c>
      <c r="P10" t="str">
        <f>'8'!$I$12</f>
        <v>Fulano da Silva</v>
      </c>
      <c r="Q10">
        <f>'8'!$AD$12</f>
        <v>12345</v>
      </c>
      <c r="R10">
        <f>'8'!$I$13</f>
        <v>0</v>
      </c>
      <c r="S10">
        <f>'8'!$AD$13</f>
        <v>0</v>
      </c>
      <c r="T10">
        <f>'8'!$I$14</f>
        <v>0</v>
      </c>
      <c r="U10">
        <f>'8'!$AD$14</f>
        <v>0</v>
      </c>
      <c r="V10">
        <f>'8'!$I$15</f>
        <v>0</v>
      </c>
      <c r="W10">
        <f>'8'!$AD$15</f>
        <v>0</v>
      </c>
      <c r="X10">
        <f>'8'!$I$16</f>
        <v>0</v>
      </c>
      <c r="Y10">
        <f>'8'!$AD$16</f>
        <v>0</v>
      </c>
      <c r="Z10">
        <f>'8'!$I$17</f>
        <v>0</v>
      </c>
      <c r="AA10">
        <f>'8'!$AD$17</f>
        <v>0</v>
      </c>
      <c r="AB10">
        <f>'8'!$I$18</f>
        <v>0</v>
      </c>
      <c r="AC10">
        <f>'8'!$AD$18</f>
        <v>0</v>
      </c>
      <c r="AD10">
        <f>'8'!$B$32</f>
        <v>0</v>
      </c>
      <c r="AE10" s="12">
        <f>'8'!$Z$32</f>
        <v>0</v>
      </c>
      <c r="AF10" s="12">
        <f>'8'!$AD$32</f>
        <v>0</v>
      </c>
      <c r="AG10" s="12">
        <f>MonitorProjetos!K104</f>
        <v>0</v>
      </c>
      <c r="AH10" s="12">
        <f>MonitorProjetos!L104</f>
        <v>0</v>
      </c>
      <c r="AI10" s="12">
        <f>MonitorProjetos!M104</f>
        <v>0</v>
      </c>
      <c r="AJ10" s="12">
        <f>MonitorProjetos!$G$104</f>
        <v>0</v>
      </c>
      <c r="AK10" s="12" t="str">
        <f ca="1">MonitorProjetos!$E$104</f>
        <v/>
      </c>
      <c r="AL10" s="12">
        <f>MonitorProjetos!$I$104</f>
        <v>43647</v>
      </c>
      <c r="AM10" s="12" t="str">
        <f ca="1">MonitorProjetos!$J$104</f>
        <v/>
      </c>
      <c r="AN10" s="12" t="str">
        <f>MonitorProjetos!$F$104</f>
        <v>f</v>
      </c>
      <c r="AO10">
        <f>'8'!$B$33</f>
        <v>0</v>
      </c>
      <c r="AP10" s="12">
        <f>'8'!$Z$33</f>
        <v>0</v>
      </c>
      <c r="AQ10" s="12">
        <f>'8'!$AD$33</f>
        <v>0</v>
      </c>
      <c r="AR10" s="12">
        <f>MonitorProjetos!K14</f>
        <v>0</v>
      </c>
      <c r="AS10" s="12">
        <f>MonitorProjetos!L105</f>
        <v>0</v>
      </c>
      <c r="AT10" s="35">
        <f>MonitorProjetos!M105</f>
        <v>0</v>
      </c>
      <c r="AU10" s="35">
        <f>MonitorProjetos!$G$105</f>
        <v>0</v>
      </c>
      <c r="AV10" s="35" t="str">
        <f ca="1">MonitorProjetos!$E$105</f>
        <v/>
      </c>
      <c r="AW10" s="35">
        <f>MonitorProjetos!$I$105</f>
        <v>0</v>
      </c>
      <c r="AX10" s="35" t="str">
        <f ca="1">MonitorProjetos!$J$105</f>
        <v/>
      </c>
      <c r="AY10" s="35">
        <f>MonitorProjetos!$F$105</f>
        <v>0</v>
      </c>
      <c r="AZ10">
        <f>'8'!$B$34</f>
        <v>0</v>
      </c>
      <c r="BA10" s="12">
        <f>'8'!$Z$34</f>
        <v>0</v>
      </c>
      <c r="BB10" s="12">
        <f>'8'!$AD$34</f>
        <v>0</v>
      </c>
      <c r="BC10" s="12">
        <f>MonitorProjetos!K106</f>
        <v>0</v>
      </c>
      <c r="BD10" s="12">
        <f>MonitorProjetos!L106</f>
        <v>0</v>
      </c>
      <c r="BE10" s="12">
        <f>MonitorProjetos!M106</f>
        <v>0</v>
      </c>
      <c r="BF10" s="12">
        <f>MonitorProjetos!$G$106</f>
        <v>0</v>
      </c>
      <c r="BG10" s="12" t="str">
        <f ca="1">MonitorProjetos!$E$106</f>
        <v/>
      </c>
      <c r="BH10" s="12">
        <f>MonitorProjetos!$I$106</f>
        <v>0</v>
      </c>
      <c r="BI10" s="12" t="str">
        <f ca="1">MonitorProjetos!$J$106</f>
        <v/>
      </c>
      <c r="BJ10" s="12">
        <f>MonitorProjetos!$F$106</f>
        <v>0</v>
      </c>
      <c r="BK10">
        <f>'8'!$B$35</f>
        <v>0</v>
      </c>
      <c r="BL10" s="12">
        <f>'8'!$Z$35</f>
        <v>0</v>
      </c>
      <c r="BM10" s="12">
        <f>'8'!$AD$35</f>
        <v>0</v>
      </c>
      <c r="BN10" s="12">
        <f>MonitorProjetos!K107</f>
        <v>0</v>
      </c>
      <c r="BO10" s="12">
        <f>MonitorProjetos!L107</f>
        <v>0</v>
      </c>
      <c r="BP10" s="12">
        <f>MonitorProjetos!M107</f>
        <v>0</v>
      </c>
      <c r="BQ10" s="12">
        <f>MonitorProjetos!$G$107</f>
        <v>0</v>
      </c>
      <c r="BR10" s="12" t="str">
        <f ca="1">MonitorProjetos!$E$107</f>
        <v/>
      </c>
      <c r="BS10" s="12">
        <f>MonitorProjetos!$I$107</f>
        <v>0</v>
      </c>
      <c r="BT10" s="12" t="str">
        <f ca="1">MonitorProjetos!$J$107</f>
        <v/>
      </c>
      <c r="BU10" s="12">
        <f>MonitorProjetos!$F$107</f>
        <v>0</v>
      </c>
      <c r="BV10">
        <f>'8'!$B$36</f>
        <v>0</v>
      </c>
      <c r="BW10" s="12">
        <f>'8'!$Z$36</f>
        <v>0</v>
      </c>
      <c r="BX10" s="12">
        <f>'8'!$AD$36</f>
        <v>0</v>
      </c>
      <c r="BY10" s="12">
        <f>MonitorProjetos!K108</f>
        <v>0</v>
      </c>
      <c r="BZ10" s="12">
        <f>MonitorProjetos!L108</f>
        <v>0</v>
      </c>
      <c r="CA10" s="12">
        <f>MonitorProjetos!M108</f>
        <v>0</v>
      </c>
      <c r="CB10" s="12">
        <f>MonitorProjetos!$G$108</f>
        <v>0</v>
      </c>
      <c r="CC10" s="12" t="str">
        <f ca="1">MonitorProjetos!$E$108</f>
        <v/>
      </c>
      <c r="CD10" s="12">
        <f>MonitorProjetos!$I$108</f>
        <v>0</v>
      </c>
      <c r="CE10" s="12" t="str">
        <f ca="1">MonitorProjetos!$J$108</f>
        <v/>
      </c>
      <c r="CF10" s="12">
        <f>MonitorProjetos!$F$108</f>
        <v>0</v>
      </c>
      <c r="CG10">
        <f>'8'!$B$37</f>
        <v>0</v>
      </c>
      <c r="CH10" s="12">
        <f>'8'!$Z$37</f>
        <v>0</v>
      </c>
      <c r="CI10" s="12">
        <f>'8'!$AD$37</f>
        <v>0</v>
      </c>
      <c r="CJ10" s="12">
        <f>MonitorProjetos!K109</f>
        <v>0</v>
      </c>
      <c r="CK10" s="12">
        <f>MonitorProjetos!L109</f>
        <v>0</v>
      </c>
      <c r="CL10" s="12">
        <f>MonitorProjetos!M109</f>
        <v>0</v>
      </c>
      <c r="CM10" s="12">
        <f>MonitorProjetos!$G$109</f>
        <v>0</v>
      </c>
      <c r="CN10" s="12" t="str">
        <f ca="1">MonitorProjetos!$E$109</f>
        <v/>
      </c>
      <c r="CO10" s="12">
        <f>MonitorProjetos!$I$109</f>
        <v>0</v>
      </c>
      <c r="CP10" s="12" t="str">
        <f ca="1">MonitorProjetos!$J$109</f>
        <v/>
      </c>
      <c r="CQ10" s="12">
        <f>MonitorProjetos!$F$109</f>
        <v>0</v>
      </c>
      <c r="CR10">
        <f>'8'!$B$38</f>
        <v>0</v>
      </c>
      <c r="CS10" s="12">
        <f>'8'!$Z$38</f>
        <v>0</v>
      </c>
      <c r="CT10" s="12">
        <f>'8'!$AD$38</f>
        <v>0</v>
      </c>
      <c r="CU10" s="12">
        <f>MonitorProjetos!K110</f>
        <v>0</v>
      </c>
      <c r="CV10" s="12">
        <f>MonitorProjetos!L110</f>
        <v>0</v>
      </c>
      <c r="CW10" s="12">
        <f>MonitorProjetos!M110</f>
        <v>0</v>
      </c>
      <c r="CX10" s="12">
        <f>MonitorProjetos!$G$110</f>
        <v>0</v>
      </c>
      <c r="CY10" s="12" t="str">
        <f ca="1">MonitorProjetos!$E$110</f>
        <v/>
      </c>
      <c r="CZ10" s="12">
        <f>MonitorProjetos!$I$110</f>
        <v>0</v>
      </c>
      <c r="DA10" s="12" t="str">
        <f ca="1">MonitorProjetos!$J$110</f>
        <v/>
      </c>
      <c r="DB10" s="12">
        <f>MonitorProjetos!$F$110</f>
        <v>0</v>
      </c>
      <c r="DC10">
        <f>'8'!$B$39</f>
        <v>0</v>
      </c>
      <c r="DD10" s="12">
        <f>'8'!$Z$39</f>
        <v>0</v>
      </c>
      <c r="DE10" s="12">
        <f>'8'!$AD$39</f>
        <v>0</v>
      </c>
      <c r="DF10" s="12">
        <f>MonitorProjetos!K111</f>
        <v>0</v>
      </c>
      <c r="DG10" s="12">
        <f>MonitorProjetos!L111</f>
        <v>0</v>
      </c>
      <c r="DH10" s="12">
        <f>MonitorProjetos!M111</f>
        <v>0</v>
      </c>
      <c r="DI10" s="12">
        <f>MonitorProjetos!$G$111</f>
        <v>0</v>
      </c>
      <c r="DJ10" s="12" t="str">
        <f ca="1">MonitorProjetos!$E$111</f>
        <v/>
      </c>
      <c r="DK10" s="12">
        <f>MonitorProjetos!$I$111</f>
        <v>0</v>
      </c>
      <c r="DL10" s="12" t="str">
        <f ca="1">MonitorProjetos!$J$111</f>
        <v/>
      </c>
      <c r="DM10" s="12">
        <f>MonitorProjetos!$F$111</f>
        <v>0</v>
      </c>
      <c r="DN10">
        <f>'8'!$B$40</f>
        <v>0</v>
      </c>
      <c r="DO10" s="12">
        <f>'8'!$Z$40</f>
        <v>0</v>
      </c>
      <c r="DP10" s="12">
        <f>'8'!$AD$40</f>
        <v>0</v>
      </c>
      <c r="DQ10" s="12">
        <f>MonitorProjetos!K112</f>
        <v>0</v>
      </c>
      <c r="DR10" s="12">
        <f>MonitorProjetos!L112</f>
        <v>0</v>
      </c>
      <c r="DS10" s="12">
        <f>MonitorProjetos!M112</f>
        <v>0</v>
      </c>
      <c r="DT10" s="12">
        <f>MonitorProjetos!$G$112</f>
        <v>0</v>
      </c>
      <c r="DU10" s="12" t="str">
        <f ca="1">MonitorProjetos!$E$112</f>
        <v/>
      </c>
      <c r="DV10" s="12">
        <f>MonitorProjetos!$I$112</f>
        <v>0</v>
      </c>
      <c r="DW10" s="12" t="str">
        <f ca="1">MonitorProjetos!$J$112</f>
        <v/>
      </c>
      <c r="DX10" s="12">
        <f>MonitorProjetos!$F$112</f>
        <v>0</v>
      </c>
      <c r="DY10">
        <f>'8'!$B$41</f>
        <v>0</v>
      </c>
      <c r="DZ10" s="12">
        <f>'8'!$Z$41</f>
        <v>0</v>
      </c>
      <c r="EA10" s="12">
        <f>'8'!$AD$41</f>
        <v>0</v>
      </c>
      <c r="EB10" s="12">
        <f>MonitorProjetos!K113</f>
        <v>0</v>
      </c>
      <c r="EC10" s="12">
        <f>MonitorProjetos!L113</f>
        <v>0</v>
      </c>
      <c r="ED10" s="12">
        <f>MonitorProjetos!M113</f>
        <v>0</v>
      </c>
      <c r="EE10" s="12">
        <f>MonitorProjetos!$G$113</f>
        <v>0</v>
      </c>
      <c r="EF10" s="12" t="str">
        <f ca="1">MonitorProjetos!$E$113</f>
        <v/>
      </c>
      <c r="EG10" s="12">
        <f>MonitorProjetos!$I$113</f>
        <v>0</v>
      </c>
      <c r="EH10" s="12" t="str">
        <f ca="1">MonitorProjetos!$J$113</f>
        <v/>
      </c>
      <c r="EI10" s="12">
        <f>MonitorProjetos!$F$113</f>
        <v>0</v>
      </c>
    </row>
    <row r="11" spans="1:139" hidden="1" x14ac:dyDescent="0.25">
      <c r="A11" s="52">
        <f t="shared" si="1"/>
        <v>9</v>
      </c>
      <c r="B11">
        <f>'9'!$H$8</f>
        <v>0</v>
      </c>
      <c r="C11">
        <f>'9'!$R$8</f>
        <v>0</v>
      </c>
      <c r="D11">
        <f>'9'!$Z$8</f>
        <v>0</v>
      </c>
      <c r="E11" t="str">
        <f>'9'!$H$6</f>
        <v>&lt;Nome curto / apelido / código do projeto &gt;</v>
      </c>
      <c r="F11" t="str">
        <f>'9'!$H$7</f>
        <v>&lt;indicar iniciativas do PO que o projeto contribui &gt;</v>
      </c>
      <c r="G11">
        <f>'9'!$M$7</f>
        <v>0</v>
      </c>
      <c r="H11">
        <f>'9'!$R$7</f>
        <v>0</v>
      </c>
      <c r="I11">
        <f>'9'!$X$7</f>
        <v>0</v>
      </c>
      <c r="J11">
        <f>'9'!$AD$7</f>
        <v>0</v>
      </c>
      <c r="K11" t="str">
        <f>'9'!$H$10</f>
        <v>&lt; servidor com a responsabilidade de planejar e controlar a execução do projeto &gt;</v>
      </c>
      <c r="L11" t="str">
        <f>'9'!$H$6</f>
        <v>&lt;Nome curto / apelido / código do projeto &gt;</v>
      </c>
      <c r="M11">
        <f t="shared" si="0"/>
        <v>9</v>
      </c>
      <c r="N11" s="12">
        <f>'9'!$H$11</f>
        <v>0</v>
      </c>
      <c r="O11" s="13">
        <f>'9'!$AB$11</f>
        <v>0</v>
      </c>
      <c r="P11" t="str">
        <f>'9'!$I$12</f>
        <v>Fulano da Silva</v>
      </c>
      <c r="Q11">
        <f>'9'!$AD$12</f>
        <v>12345</v>
      </c>
      <c r="R11">
        <f>'9'!$I$13</f>
        <v>0</v>
      </c>
      <c r="S11">
        <f>'9'!$AD$13</f>
        <v>0</v>
      </c>
      <c r="T11">
        <f>'9'!$I$14</f>
        <v>0</v>
      </c>
      <c r="U11">
        <f>'9'!$AD$14</f>
        <v>0</v>
      </c>
      <c r="V11">
        <f>'9'!$I$15</f>
        <v>0</v>
      </c>
      <c r="W11">
        <f>'9'!$AD$15</f>
        <v>0</v>
      </c>
      <c r="X11">
        <f>'9'!$I$16</f>
        <v>0</v>
      </c>
      <c r="Y11">
        <f>'9'!$AD$16</f>
        <v>0</v>
      </c>
      <c r="Z11">
        <f>'9'!$I$17</f>
        <v>0</v>
      </c>
      <c r="AA11">
        <f>'9'!$AD$17</f>
        <v>0</v>
      </c>
      <c r="AB11">
        <f>'9'!$I$18</f>
        <v>0</v>
      </c>
      <c r="AC11">
        <f>'9'!$AD$18</f>
        <v>0</v>
      </c>
      <c r="AD11" t="str">
        <f>'9'!$B$32</f>
        <v>des</v>
      </c>
      <c r="AE11" s="12">
        <f>'9'!$Z$32</f>
        <v>43647</v>
      </c>
      <c r="AF11" s="12">
        <f>'9'!$AD$32</f>
        <v>43661</v>
      </c>
      <c r="AG11" s="12">
        <f>MonitorProjetos!K118</f>
        <v>0</v>
      </c>
      <c r="AH11" s="12">
        <f>MonitorProjetos!L118</f>
        <v>0</v>
      </c>
      <c r="AI11" s="12">
        <f>MonitorProjetos!M118</f>
        <v>0</v>
      </c>
      <c r="AJ11" s="12">
        <f>MonitorProjetos!$G$118</f>
        <v>0</v>
      </c>
      <c r="AK11" s="12" t="str">
        <f ca="1">MonitorProjetos!$E$118</f>
        <v>Atrasada</v>
      </c>
      <c r="AL11" s="12">
        <f>MonitorProjetos!$I$118</f>
        <v>43647</v>
      </c>
      <c r="AM11" s="12" t="str">
        <f ca="1">MonitorProjetos!$J$118</f>
        <v/>
      </c>
      <c r="AN11" s="12" t="str">
        <f>MonitorProjetos!$F$118</f>
        <v>f</v>
      </c>
      <c r="AO11">
        <f>'9'!$B$33</f>
        <v>0</v>
      </c>
      <c r="AP11" s="12">
        <f>'9'!$Z$33</f>
        <v>0</v>
      </c>
      <c r="AQ11" s="12">
        <f>'9'!$AD$33</f>
        <v>0</v>
      </c>
      <c r="AR11" s="12">
        <f>MonitorProjetos!K15</f>
        <v>0</v>
      </c>
      <c r="AS11" s="12">
        <f>MonitorProjetos!L119</f>
        <v>0</v>
      </c>
      <c r="AT11" s="35">
        <f>MonitorProjetos!M119</f>
        <v>0</v>
      </c>
      <c r="AU11" s="35">
        <f>MonitorProjetos!$G$119</f>
        <v>0</v>
      </c>
      <c r="AV11" s="35" t="str">
        <f ca="1">MonitorProjetos!$E$119</f>
        <v/>
      </c>
      <c r="AW11" s="35">
        <f>MonitorProjetos!$I$119</f>
        <v>0</v>
      </c>
      <c r="AX11" s="35" t="str">
        <f ca="1">MonitorProjetos!$J$119</f>
        <v/>
      </c>
      <c r="AY11" s="35">
        <f>MonitorProjetos!$F$119</f>
        <v>0</v>
      </c>
      <c r="AZ11">
        <f>'9'!$B$34</f>
        <v>0</v>
      </c>
      <c r="BA11" s="12">
        <f>'9'!$Z$34</f>
        <v>0</v>
      </c>
      <c r="BB11" s="12">
        <f>'9'!$AD$34</f>
        <v>0</v>
      </c>
      <c r="BC11" s="12">
        <f>MonitorProjetos!K120</f>
        <v>0</v>
      </c>
      <c r="BD11" s="12">
        <f>MonitorProjetos!L120</f>
        <v>0</v>
      </c>
      <c r="BE11" s="12">
        <f>MonitorProjetos!M120</f>
        <v>0</v>
      </c>
      <c r="BF11" s="12">
        <f>MonitorProjetos!$G$120</f>
        <v>0</v>
      </c>
      <c r="BG11" s="12" t="str">
        <f ca="1">MonitorProjetos!$E$120</f>
        <v/>
      </c>
      <c r="BH11" s="12">
        <f>MonitorProjetos!$I$120</f>
        <v>0</v>
      </c>
      <c r="BI11" s="12" t="str">
        <f ca="1">MonitorProjetos!$J$120</f>
        <v/>
      </c>
      <c r="BJ11" s="12">
        <f>MonitorProjetos!$F$120</f>
        <v>0</v>
      </c>
      <c r="BK11">
        <f>'9'!$B$35</f>
        <v>0</v>
      </c>
      <c r="BL11" s="12">
        <f>'9'!$Z$35</f>
        <v>0</v>
      </c>
      <c r="BM11" s="12">
        <f>'9'!$AD$35</f>
        <v>0</v>
      </c>
      <c r="BN11" s="12">
        <f>MonitorProjetos!K121</f>
        <v>0</v>
      </c>
      <c r="BO11" s="12">
        <f>MonitorProjetos!L121</f>
        <v>0</v>
      </c>
      <c r="BP11" s="12">
        <f>MonitorProjetos!M121</f>
        <v>0</v>
      </c>
      <c r="BQ11" s="12">
        <f>MonitorProjetos!$G$121</f>
        <v>0</v>
      </c>
      <c r="BR11" s="12" t="str">
        <f ca="1">MonitorProjetos!$E$121</f>
        <v/>
      </c>
      <c r="BS11" s="12">
        <f>MonitorProjetos!$I$121</f>
        <v>0</v>
      </c>
      <c r="BT11" s="12" t="str">
        <f ca="1">MonitorProjetos!$J$121</f>
        <v/>
      </c>
      <c r="BU11" s="12">
        <f>MonitorProjetos!$F$121</f>
        <v>0</v>
      </c>
      <c r="BV11">
        <f>'9'!$B$36</f>
        <v>0</v>
      </c>
      <c r="BW11" s="12">
        <f>'9'!$Z$36</f>
        <v>0</v>
      </c>
      <c r="BX11" s="12">
        <f>'9'!$AD$36</f>
        <v>0</v>
      </c>
      <c r="BY11" s="12">
        <f>MonitorProjetos!K122</f>
        <v>0</v>
      </c>
      <c r="BZ11" s="12">
        <f>MonitorProjetos!L122</f>
        <v>0</v>
      </c>
      <c r="CA11" s="12">
        <f>MonitorProjetos!M122</f>
        <v>0</v>
      </c>
      <c r="CB11" s="12">
        <f>MonitorProjetos!$G$122</f>
        <v>0</v>
      </c>
      <c r="CC11" s="12" t="str">
        <f ca="1">MonitorProjetos!$E$122</f>
        <v/>
      </c>
      <c r="CD11" s="12">
        <f>MonitorProjetos!$I$122</f>
        <v>0</v>
      </c>
      <c r="CE11" s="12" t="str">
        <f ca="1">MonitorProjetos!$J$122</f>
        <v/>
      </c>
      <c r="CF11" s="12">
        <f>MonitorProjetos!$F$122</f>
        <v>0</v>
      </c>
      <c r="CG11">
        <f>'9'!$B$37</f>
        <v>0</v>
      </c>
      <c r="CH11" s="12">
        <f>'9'!$Z$37</f>
        <v>0</v>
      </c>
      <c r="CI11" s="12">
        <f>'9'!$AD$37</f>
        <v>0</v>
      </c>
      <c r="CJ11" s="12">
        <f>MonitorProjetos!K123</f>
        <v>0</v>
      </c>
      <c r="CK11" s="12">
        <f>MonitorProjetos!L123</f>
        <v>0</v>
      </c>
      <c r="CL11" s="12">
        <f>MonitorProjetos!M123</f>
        <v>0</v>
      </c>
      <c r="CM11" s="12">
        <f>MonitorProjetos!$G$123</f>
        <v>0</v>
      </c>
      <c r="CN11" s="12" t="str">
        <f ca="1">MonitorProjetos!$E$123</f>
        <v/>
      </c>
      <c r="CO11" s="12">
        <f>MonitorProjetos!$I$123</f>
        <v>0</v>
      </c>
      <c r="CP11" s="12" t="str">
        <f ca="1">MonitorProjetos!$J$123</f>
        <v/>
      </c>
      <c r="CQ11" s="12">
        <f>MonitorProjetos!$F$123</f>
        <v>0</v>
      </c>
      <c r="CR11">
        <f>'9'!$B$38</f>
        <v>0</v>
      </c>
      <c r="CS11" s="12">
        <f>'9'!$Z$38</f>
        <v>0</v>
      </c>
      <c r="CT11" s="12">
        <f>'9'!$AD$38</f>
        <v>0</v>
      </c>
      <c r="CU11" s="12">
        <f>MonitorProjetos!K124</f>
        <v>0</v>
      </c>
      <c r="CV11" s="12">
        <f>MonitorProjetos!L124</f>
        <v>0</v>
      </c>
      <c r="CW11" s="12">
        <f>MonitorProjetos!M124</f>
        <v>0</v>
      </c>
      <c r="CX11" s="12">
        <f>MonitorProjetos!$G$124</f>
        <v>0</v>
      </c>
      <c r="CY11" s="12" t="str">
        <f ca="1">MonitorProjetos!$E$124</f>
        <v/>
      </c>
      <c r="CZ11" s="12">
        <f>MonitorProjetos!$I$124</f>
        <v>0</v>
      </c>
      <c r="DA11" s="12" t="str">
        <f ca="1">MonitorProjetos!$J$124</f>
        <v/>
      </c>
      <c r="DB11" s="12">
        <f>MonitorProjetos!$F$124</f>
        <v>0</v>
      </c>
      <c r="DC11">
        <f>'9'!$B$39</f>
        <v>0</v>
      </c>
      <c r="DD11" s="12">
        <f>'9'!$Z$39</f>
        <v>0</v>
      </c>
      <c r="DE11" s="12">
        <f>'9'!$AD$39</f>
        <v>0</v>
      </c>
      <c r="DF11" s="12">
        <f>MonitorProjetos!K125</f>
        <v>0</v>
      </c>
      <c r="DG11" s="12">
        <f>MonitorProjetos!L125</f>
        <v>0</v>
      </c>
      <c r="DH11" s="12">
        <f>MonitorProjetos!M125</f>
        <v>0</v>
      </c>
      <c r="DI11" s="12">
        <f>MonitorProjetos!$G$125</f>
        <v>0</v>
      </c>
      <c r="DJ11" s="12" t="str">
        <f ca="1">MonitorProjetos!$E$125</f>
        <v/>
      </c>
      <c r="DK11" s="12">
        <f>MonitorProjetos!$I$125</f>
        <v>0</v>
      </c>
      <c r="DL11" s="12" t="str">
        <f ca="1">MonitorProjetos!$J$125</f>
        <v/>
      </c>
      <c r="DM11" s="12">
        <f>MonitorProjetos!$F$125</f>
        <v>0</v>
      </c>
      <c r="DN11">
        <f>'9'!$B$40</f>
        <v>0</v>
      </c>
      <c r="DO11" s="12">
        <f>'9'!$Z$40</f>
        <v>0</v>
      </c>
      <c r="DP11" s="12">
        <f>'9'!$AD$40</f>
        <v>0</v>
      </c>
      <c r="DQ11" s="12">
        <f>MonitorProjetos!K126</f>
        <v>0</v>
      </c>
      <c r="DR11" s="12">
        <f>MonitorProjetos!L126</f>
        <v>0</v>
      </c>
      <c r="DS11" s="12">
        <f>MonitorProjetos!M126</f>
        <v>0</v>
      </c>
      <c r="DT11" s="12">
        <f>MonitorProjetos!$G$126</f>
        <v>0</v>
      </c>
      <c r="DU11" s="12" t="str">
        <f ca="1">MonitorProjetos!$E$126</f>
        <v/>
      </c>
      <c r="DV11" s="12">
        <f>MonitorProjetos!$I$126</f>
        <v>0</v>
      </c>
      <c r="DW11" s="12" t="str">
        <f ca="1">MonitorProjetos!$J$126</f>
        <v/>
      </c>
      <c r="DX11" s="12">
        <f>MonitorProjetos!$F$126</f>
        <v>0</v>
      </c>
      <c r="DY11">
        <f>'9'!$B$41</f>
        <v>0</v>
      </c>
      <c r="DZ11" s="12">
        <f>'9'!$Z$41</f>
        <v>0</v>
      </c>
      <c r="EA11" s="12">
        <f>'9'!$AD$41</f>
        <v>0</v>
      </c>
      <c r="EB11" s="12">
        <f>MonitorProjetos!K127</f>
        <v>0</v>
      </c>
      <c r="EC11" s="12">
        <f>MonitorProjetos!L127</f>
        <v>0</v>
      </c>
      <c r="ED11" s="12">
        <f>MonitorProjetos!M127</f>
        <v>0</v>
      </c>
      <c r="EE11" s="12">
        <f>MonitorProjetos!$G$127</f>
        <v>0</v>
      </c>
      <c r="EF11" s="12" t="str">
        <f ca="1">MonitorProjetos!$E$127</f>
        <v/>
      </c>
      <c r="EG11" s="12">
        <f>MonitorProjetos!$I$127</f>
        <v>0</v>
      </c>
      <c r="EH11" s="12" t="str">
        <f ca="1">MonitorProjetos!$J$127</f>
        <v/>
      </c>
      <c r="EI11" s="12">
        <f>MonitorProjetos!$F$127</f>
        <v>0</v>
      </c>
    </row>
    <row r="12" spans="1:139" hidden="1" x14ac:dyDescent="0.25">
      <c r="A12" s="52">
        <f t="shared" si="1"/>
        <v>10</v>
      </c>
      <c r="B12">
        <f>'10'!$H$8</f>
        <v>0</v>
      </c>
      <c r="C12">
        <f>'10'!$R$8</f>
        <v>0</v>
      </c>
      <c r="D12">
        <f>'10'!$Z$8</f>
        <v>0</v>
      </c>
      <c r="E12" t="str">
        <f>'10'!$H$6</f>
        <v>&lt;Nome curto / apelido / código do projeto &gt;</v>
      </c>
      <c r="F12" t="str">
        <f>'10'!$H$7</f>
        <v>&lt;indicar iniciativas do PO que o projeto contribui &gt;</v>
      </c>
      <c r="G12">
        <f>'10'!$M$7</f>
        <v>0</v>
      </c>
      <c r="H12">
        <f>'10'!$R$7</f>
        <v>0</v>
      </c>
      <c r="I12">
        <f>'10'!$X$7</f>
        <v>0</v>
      </c>
      <c r="J12">
        <f>'10'!$AD$7</f>
        <v>0</v>
      </c>
      <c r="K12" t="str">
        <f>'10'!$H$10</f>
        <v>&lt; servidor com a responsabilidade de planejar e controlar a execução do projeto &gt;</v>
      </c>
      <c r="L12" t="str">
        <f>'10'!$H$6</f>
        <v>&lt;Nome curto / apelido / código do projeto &gt;</v>
      </c>
      <c r="M12">
        <f t="shared" si="0"/>
        <v>10</v>
      </c>
      <c r="N12" s="12">
        <f>'10'!$H$11</f>
        <v>0</v>
      </c>
      <c r="O12" s="13">
        <f>'10'!$AB$11</f>
        <v>0</v>
      </c>
      <c r="P12" t="str">
        <f>'10'!$I$12</f>
        <v>Fulano da Silva</v>
      </c>
      <c r="Q12">
        <f>'10'!$AD$12</f>
        <v>12345</v>
      </c>
      <c r="R12">
        <f>'10'!$I$13</f>
        <v>0</v>
      </c>
      <c r="S12">
        <f>'10'!$AD$13</f>
        <v>0</v>
      </c>
      <c r="T12">
        <f>'10'!$I$14</f>
        <v>0</v>
      </c>
      <c r="U12">
        <f>'10'!$AD$14</f>
        <v>0</v>
      </c>
      <c r="V12">
        <f>'10'!$I$15</f>
        <v>0</v>
      </c>
      <c r="W12">
        <f>'10'!$AD$15</f>
        <v>0</v>
      </c>
      <c r="X12">
        <f>'10'!$I$16</f>
        <v>0</v>
      </c>
      <c r="Y12">
        <f>'10'!$AD$16</f>
        <v>0</v>
      </c>
      <c r="Z12">
        <f>'10'!$I$17</f>
        <v>0</v>
      </c>
      <c r="AA12">
        <f>'10'!$AD$17</f>
        <v>0</v>
      </c>
      <c r="AB12">
        <f>'10'!$I$18</f>
        <v>0</v>
      </c>
      <c r="AC12">
        <f>'10'!$AD$18</f>
        <v>0</v>
      </c>
      <c r="AD12">
        <f>'10'!$B$32</f>
        <v>0</v>
      </c>
      <c r="AE12" s="12">
        <f>'10'!$Z$32</f>
        <v>0</v>
      </c>
      <c r="AF12" s="12">
        <f>'10'!$AD$32</f>
        <v>0</v>
      </c>
      <c r="AG12" s="12">
        <f>MonitorProjetos!K132</f>
        <v>43528</v>
      </c>
      <c r="AH12" s="12">
        <f>MonitorProjetos!L32</f>
        <v>0</v>
      </c>
      <c r="AI12" s="12">
        <f>MonitorProjetos!M32</f>
        <v>0</v>
      </c>
      <c r="AJ12" s="12">
        <f>MonitorProjetos!$G$132</f>
        <v>0</v>
      </c>
      <c r="AK12" s="12" t="str">
        <f>MonitorProjetos!$E$132</f>
        <v>Concluída</v>
      </c>
      <c r="AL12" s="12">
        <f>MonitorProjetos!$I$132</f>
        <v>43647</v>
      </c>
      <c r="AM12" s="12">
        <f>MonitorProjetos!$J$132</f>
        <v>43647</v>
      </c>
      <c r="AN12" s="12" t="str">
        <f>MonitorProjetos!$F$132</f>
        <v>f</v>
      </c>
      <c r="AO12">
        <f>'10'!$B$33</f>
        <v>0</v>
      </c>
      <c r="AP12" s="12">
        <f>'10'!$Z$33</f>
        <v>0</v>
      </c>
      <c r="AQ12" s="12">
        <f>'10'!$AD$33</f>
        <v>0</v>
      </c>
      <c r="AR12" s="12">
        <f>MonitorProjetos!K16</f>
        <v>0</v>
      </c>
      <c r="AS12" s="12">
        <f>MonitorProjetos!L133</f>
        <v>0</v>
      </c>
      <c r="AT12" s="35">
        <f>MonitorProjetos!M133</f>
        <v>0</v>
      </c>
      <c r="AU12" s="35">
        <f>MonitorProjetos!$G$133</f>
        <v>0</v>
      </c>
      <c r="AV12" s="35" t="str">
        <f ca="1">MonitorProjetos!$E$133</f>
        <v/>
      </c>
      <c r="AW12" s="35">
        <f>MonitorProjetos!$I$133</f>
        <v>0</v>
      </c>
      <c r="AX12" s="35" t="str">
        <f ca="1">MonitorProjetos!$J$133</f>
        <v/>
      </c>
      <c r="AY12" s="35">
        <f>MonitorProjetos!$F$133</f>
        <v>0</v>
      </c>
      <c r="AZ12">
        <f>'10'!$B$34</f>
        <v>0</v>
      </c>
      <c r="BA12" s="12">
        <f>'10'!$Z$34</f>
        <v>0</v>
      </c>
      <c r="BB12" s="12">
        <f>'10'!$AD$34</f>
        <v>0</v>
      </c>
      <c r="BC12" s="12">
        <f>MonitorProjetos!K134</f>
        <v>0</v>
      </c>
      <c r="BD12" s="12">
        <f>MonitorProjetos!L134</f>
        <v>0</v>
      </c>
      <c r="BE12" s="12">
        <f>MonitorProjetos!M134</f>
        <v>0</v>
      </c>
      <c r="BF12" s="12">
        <f>MonitorProjetos!$G$134</f>
        <v>0</v>
      </c>
      <c r="BG12" s="12" t="str">
        <f ca="1">MonitorProjetos!$E$134</f>
        <v/>
      </c>
      <c r="BH12" s="12">
        <f>MonitorProjetos!$I$134</f>
        <v>0</v>
      </c>
      <c r="BI12" s="12" t="str">
        <f ca="1">MonitorProjetos!$J$134</f>
        <v/>
      </c>
      <c r="BJ12" s="12">
        <f>MonitorProjetos!$F$134</f>
        <v>0</v>
      </c>
      <c r="BK12">
        <f>'10'!$B$35</f>
        <v>0</v>
      </c>
      <c r="BL12" s="12">
        <f>'10'!$Z$35</f>
        <v>0</v>
      </c>
      <c r="BM12" s="12">
        <f>'10'!$AD$35</f>
        <v>0</v>
      </c>
      <c r="BN12" s="12">
        <f>MonitorProjetos!K135</f>
        <v>0</v>
      </c>
      <c r="BO12" s="12">
        <f>MonitorProjetos!L135</f>
        <v>0</v>
      </c>
      <c r="BP12" s="12">
        <f>MonitorProjetos!M135</f>
        <v>0</v>
      </c>
      <c r="BQ12" s="12">
        <f>MonitorProjetos!$G$135</f>
        <v>0</v>
      </c>
      <c r="BR12" s="12" t="str">
        <f ca="1">MonitorProjetos!$E$135</f>
        <v/>
      </c>
      <c r="BS12" s="12">
        <f>MonitorProjetos!$I$135</f>
        <v>0</v>
      </c>
      <c r="BT12" s="12" t="str">
        <f ca="1">MonitorProjetos!$J$135</f>
        <v/>
      </c>
      <c r="BU12" s="12">
        <f>MonitorProjetos!$F$135</f>
        <v>0</v>
      </c>
      <c r="BV12">
        <f>'10'!$B$36</f>
        <v>0</v>
      </c>
      <c r="BW12" s="12">
        <f>'10'!$Z$36</f>
        <v>0</v>
      </c>
      <c r="BX12" s="12">
        <f>'10'!$AD$36</f>
        <v>0</v>
      </c>
      <c r="BY12" s="12">
        <f>MonitorProjetos!K136</f>
        <v>0</v>
      </c>
      <c r="BZ12" s="12">
        <f>MonitorProjetos!L136</f>
        <v>0</v>
      </c>
      <c r="CA12" s="12">
        <f>MonitorProjetos!M136</f>
        <v>0</v>
      </c>
      <c r="CB12" s="12">
        <f>MonitorProjetos!$G$136</f>
        <v>0</v>
      </c>
      <c r="CC12" s="12" t="str">
        <f ca="1">MonitorProjetos!$E$136</f>
        <v/>
      </c>
      <c r="CD12" s="12">
        <f>MonitorProjetos!$I$136</f>
        <v>0</v>
      </c>
      <c r="CE12" s="12" t="str">
        <f ca="1">MonitorProjetos!$J$136</f>
        <v/>
      </c>
      <c r="CF12" s="12">
        <f>MonitorProjetos!$F$136</f>
        <v>0</v>
      </c>
      <c r="CG12">
        <f>'10'!$B$37</f>
        <v>0</v>
      </c>
      <c r="CH12" s="12">
        <f>'10'!$Z$37</f>
        <v>0</v>
      </c>
      <c r="CI12" s="12">
        <f>'10'!$AD$37</f>
        <v>0</v>
      </c>
      <c r="CJ12" s="12">
        <f>MonitorProjetos!K137</f>
        <v>0</v>
      </c>
      <c r="CK12" s="12">
        <f>MonitorProjetos!L137</f>
        <v>0</v>
      </c>
      <c r="CL12" s="12">
        <f>MonitorProjetos!M137</f>
        <v>0</v>
      </c>
      <c r="CM12" s="12">
        <f>MonitorProjetos!$G$137</f>
        <v>0</v>
      </c>
      <c r="CN12" s="12" t="str">
        <f ca="1">MonitorProjetos!$E$137</f>
        <v/>
      </c>
      <c r="CO12" s="12">
        <f>MonitorProjetos!$I$137</f>
        <v>0</v>
      </c>
      <c r="CP12" s="12" t="str">
        <f ca="1">MonitorProjetos!$J$137</f>
        <v/>
      </c>
      <c r="CQ12" s="12">
        <f>MonitorProjetos!$F$137</f>
        <v>0</v>
      </c>
      <c r="CR12">
        <f>'10'!$B$38</f>
        <v>0</v>
      </c>
      <c r="CS12" s="12">
        <f>'10'!$Z$38</f>
        <v>0</v>
      </c>
      <c r="CT12" s="12">
        <f>'10'!$AD$38</f>
        <v>0</v>
      </c>
      <c r="CU12" s="12">
        <f>MonitorProjetos!K138</f>
        <v>0</v>
      </c>
      <c r="CV12" s="12">
        <f>MonitorProjetos!L138</f>
        <v>0</v>
      </c>
      <c r="CW12" s="12">
        <f>MonitorProjetos!M138</f>
        <v>0</v>
      </c>
      <c r="CX12" s="12">
        <f>MonitorProjetos!$G$138</f>
        <v>0</v>
      </c>
      <c r="CY12" s="12" t="str">
        <f ca="1">MonitorProjetos!$E$138</f>
        <v/>
      </c>
      <c r="CZ12" s="12">
        <f>MonitorProjetos!$I$138</f>
        <v>0</v>
      </c>
      <c r="DA12" s="12" t="str">
        <f ca="1">MonitorProjetos!$J$138</f>
        <v/>
      </c>
      <c r="DB12" s="12">
        <f>MonitorProjetos!$F$138</f>
        <v>0</v>
      </c>
      <c r="DC12">
        <f>'10'!$B$39</f>
        <v>0</v>
      </c>
      <c r="DD12" s="12">
        <f>'10'!$Z$39</f>
        <v>0</v>
      </c>
      <c r="DE12" s="12">
        <f>'10'!$AD$39</f>
        <v>0</v>
      </c>
      <c r="DF12" s="12">
        <f>MonitorProjetos!K139</f>
        <v>0</v>
      </c>
      <c r="DG12" s="12">
        <f>MonitorProjetos!L139</f>
        <v>0</v>
      </c>
      <c r="DH12" s="12">
        <f>MonitorProjetos!M139</f>
        <v>0</v>
      </c>
      <c r="DI12" s="12">
        <f>MonitorProjetos!$G$139</f>
        <v>0</v>
      </c>
      <c r="DJ12" s="12" t="str">
        <f ca="1">MonitorProjetos!$E$139</f>
        <v/>
      </c>
      <c r="DK12" s="12">
        <f>MonitorProjetos!$I$139</f>
        <v>0</v>
      </c>
      <c r="DL12" s="12" t="str">
        <f ca="1">MonitorProjetos!$J$139</f>
        <v/>
      </c>
      <c r="DM12" s="12">
        <f>MonitorProjetos!$F$139</f>
        <v>0</v>
      </c>
      <c r="DN12">
        <f>'10'!$B$40</f>
        <v>0</v>
      </c>
      <c r="DO12" s="12">
        <f>'10'!$Z$40</f>
        <v>0</v>
      </c>
      <c r="DP12" s="12">
        <f>'10'!$AD$40</f>
        <v>0</v>
      </c>
      <c r="DQ12" s="12">
        <f>MonitorProjetos!K140</f>
        <v>0</v>
      </c>
      <c r="DR12" s="12">
        <f>MonitorProjetos!L140</f>
        <v>0</v>
      </c>
      <c r="DS12" s="12">
        <f>MonitorProjetos!M140</f>
        <v>0</v>
      </c>
      <c r="DT12" s="12">
        <f>MonitorProjetos!$G$140</f>
        <v>0</v>
      </c>
      <c r="DU12" s="12" t="str">
        <f ca="1">MonitorProjetos!$E$140</f>
        <v/>
      </c>
      <c r="DV12" s="12">
        <f>MonitorProjetos!$I$140</f>
        <v>0</v>
      </c>
      <c r="DW12" s="12" t="str">
        <f ca="1">MonitorProjetos!$J$140</f>
        <v/>
      </c>
      <c r="DX12" s="12">
        <f>MonitorProjetos!$F$140</f>
        <v>0</v>
      </c>
      <c r="DY12">
        <f>'10'!$B$41</f>
        <v>0</v>
      </c>
      <c r="DZ12" s="12">
        <f>'10'!$Z$41</f>
        <v>0</v>
      </c>
      <c r="EA12" s="12">
        <f>'10'!$AD$41</f>
        <v>0</v>
      </c>
      <c r="EB12" s="12">
        <f>MonitorProjetos!K141</f>
        <v>0</v>
      </c>
      <c r="EC12" s="12">
        <f>MonitorProjetos!L141</f>
        <v>0</v>
      </c>
      <c r="ED12" s="12">
        <f>MonitorProjetos!M141</f>
        <v>0</v>
      </c>
      <c r="EE12" s="12">
        <f>MonitorProjetos!$G$141</f>
        <v>0</v>
      </c>
      <c r="EF12" s="12" t="str">
        <f ca="1">MonitorProjetos!$E$141</f>
        <v/>
      </c>
      <c r="EG12" s="12">
        <f>MonitorProjetos!$I$141</f>
        <v>0</v>
      </c>
      <c r="EH12" s="12" t="str">
        <f ca="1">MonitorProjetos!$J$141</f>
        <v/>
      </c>
      <c r="EI12" s="12">
        <f>MonitorProjetos!$F$141</f>
        <v>0</v>
      </c>
    </row>
    <row r="13" spans="1:139" hidden="1" x14ac:dyDescent="0.25">
      <c r="A13" s="52">
        <f t="shared" si="1"/>
        <v>11</v>
      </c>
      <c r="B13">
        <f>'11'!$H$8</f>
        <v>0</v>
      </c>
      <c r="C13">
        <f>'11'!$R$8</f>
        <v>0</v>
      </c>
      <c r="D13">
        <f>'11'!$Z$8</f>
        <v>0</v>
      </c>
      <c r="E13">
        <f>'11'!$H$6</f>
        <v>0</v>
      </c>
      <c r="F13">
        <f>'11'!$H$7</f>
        <v>0</v>
      </c>
      <c r="G13">
        <f>'11'!$M$7</f>
        <v>0</v>
      </c>
      <c r="H13">
        <f>'11'!$R$7</f>
        <v>0</v>
      </c>
      <c r="I13">
        <f>'11'!$X$7</f>
        <v>0</v>
      </c>
      <c r="J13">
        <f>'11'!$AD$7</f>
        <v>0</v>
      </c>
      <c r="K13" t="str">
        <f>'11'!$H$10</f>
        <v>&lt; servidor com a responsabilidade de planejar e controlar a execução do projeto &gt;</v>
      </c>
      <c r="L13">
        <f>'11'!$H$6</f>
        <v>0</v>
      </c>
      <c r="M13">
        <f t="shared" si="0"/>
        <v>11</v>
      </c>
      <c r="N13" s="12">
        <f>'11'!$H$11</f>
        <v>0</v>
      </c>
      <c r="O13" s="13">
        <f>'11'!$AB$11</f>
        <v>0</v>
      </c>
      <c r="P13" t="str">
        <f>'11'!$I$12</f>
        <v>Fulano da Silva</v>
      </c>
      <c r="Q13">
        <f>'11'!$AD$12</f>
        <v>12345</v>
      </c>
      <c r="R13">
        <f>'11'!$I$13</f>
        <v>0</v>
      </c>
      <c r="S13">
        <f>'11'!$AD$13</f>
        <v>0</v>
      </c>
      <c r="T13">
        <f>'11'!$I$14</f>
        <v>0</v>
      </c>
      <c r="U13">
        <f>'11'!$AD$14</f>
        <v>0</v>
      </c>
      <c r="V13">
        <f>'11'!$I$15</f>
        <v>0</v>
      </c>
      <c r="W13">
        <f>'11'!$AD$15</f>
        <v>0</v>
      </c>
      <c r="X13">
        <f>'11'!$I$16</f>
        <v>0</v>
      </c>
      <c r="Y13">
        <f>'11'!$AD$16</f>
        <v>0</v>
      </c>
      <c r="Z13">
        <f>'11'!$I$17</f>
        <v>0</v>
      </c>
      <c r="AA13">
        <f>'11'!$AD$17</f>
        <v>0</v>
      </c>
      <c r="AB13">
        <f>'11'!$I$18</f>
        <v>0</v>
      </c>
      <c r="AC13">
        <f>'11'!$AD$18</f>
        <v>0</v>
      </c>
      <c r="AD13">
        <f>'11'!$B$32</f>
        <v>0</v>
      </c>
      <c r="AE13" s="12">
        <f>'11'!$Z$32</f>
        <v>0</v>
      </c>
      <c r="AF13" s="12">
        <f>'11'!$AD$32</f>
        <v>0</v>
      </c>
      <c r="AG13" s="12">
        <f>MonitorProjetos!K146</f>
        <v>0</v>
      </c>
      <c r="AH13" s="12">
        <f>MonitorProjetos!L46</f>
        <v>0</v>
      </c>
      <c r="AI13" s="12">
        <f>MonitorProjetos!M46</f>
        <v>0</v>
      </c>
      <c r="AJ13" s="12">
        <f>MonitorProjetos!$G$146</f>
        <v>0</v>
      </c>
      <c r="AK13" s="12" t="str">
        <f ca="1">MonitorProjetos!$E$146</f>
        <v/>
      </c>
      <c r="AL13" s="12">
        <f>MonitorProjetos!$I$146</f>
        <v>43647</v>
      </c>
      <c r="AM13" s="12" t="str">
        <f ca="1">MonitorProjetos!$J$146</f>
        <v/>
      </c>
      <c r="AN13" s="12" t="str">
        <f>MonitorProjetos!$F$146</f>
        <v>f</v>
      </c>
      <c r="AO13">
        <f>'11'!$B$33</f>
        <v>0</v>
      </c>
      <c r="AP13" s="12">
        <f>'11'!$Z$33</f>
        <v>0</v>
      </c>
      <c r="AQ13" s="12">
        <f>'11'!$AD$33</f>
        <v>0</v>
      </c>
      <c r="AR13" s="12">
        <f>MonitorProjetos!K17</f>
        <v>0</v>
      </c>
      <c r="AS13" s="12">
        <f>MonitorProjetos!L147</f>
        <v>0</v>
      </c>
      <c r="AT13" s="35">
        <f>MonitorProjetos!M147</f>
        <v>0</v>
      </c>
      <c r="AU13" s="35">
        <f>MonitorProjetos!$G$147</f>
        <v>0</v>
      </c>
      <c r="AV13" s="35" t="str">
        <f ca="1">MonitorProjetos!$E$147</f>
        <v/>
      </c>
      <c r="AW13" s="35">
        <f>MonitorProjetos!$I$147</f>
        <v>0</v>
      </c>
      <c r="AX13" s="35">
        <f>MonitorProjetos!$J$147</f>
        <v>0</v>
      </c>
      <c r="AY13" s="35">
        <f>MonitorProjetos!$F$147</f>
        <v>0</v>
      </c>
      <c r="AZ13">
        <f>'11'!$B$34</f>
        <v>0</v>
      </c>
      <c r="BA13" s="12">
        <f>'11'!$Z$34</f>
        <v>0</v>
      </c>
      <c r="BB13" s="12">
        <f>'11'!$AD$34</f>
        <v>0</v>
      </c>
      <c r="BC13" s="12">
        <f>MonitorProjetos!K148</f>
        <v>0</v>
      </c>
      <c r="BD13" s="12">
        <f>MonitorProjetos!L148</f>
        <v>0</v>
      </c>
      <c r="BE13" s="12">
        <f>MonitorProjetos!M148</f>
        <v>0</v>
      </c>
      <c r="BF13" s="12">
        <f>MonitorProjetos!$G$148</f>
        <v>0</v>
      </c>
      <c r="BG13" s="12" t="str">
        <f ca="1">MonitorProjetos!$E$148</f>
        <v/>
      </c>
      <c r="BH13" s="12">
        <f>MonitorProjetos!$I$148</f>
        <v>0</v>
      </c>
      <c r="BI13" s="12" t="str">
        <f ca="1">MonitorProjetos!$J$148</f>
        <v/>
      </c>
      <c r="BJ13" s="12">
        <f>MonitorProjetos!$F$148</f>
        <v>0</v>
      </c>
      <c r="BK13">
        <f>'11'!$B$35</f>
        <v>0</v>
      </c>
      <c r="BL13" s="12">
        <f>'11'!$Z$35</f>
        <v>0</v>
      </c>
      <c r="BM13" s="12">
        <f>'11'!$AD$35</f>
        <v>0</v>
      </c>
      <c r="BN13" s="12">
        <f>MonitorProjetos!K149</f>
        <v>0</v>
      </c>
      <c r="BO13" s="12">
        <f>MonitorProjetos!L149</f>
        <v>0</v>
      </c>
      <c r="BP13" s="12">
        <f>MonitorProjetos!M149</f>
        <v>0</v>
      </c>
      <c r="BQ13" s="12">
        <f>MonitorProjetos!$G$149</f>
        <v>0</v>
      </c>
      <c r="BR13" s="12" t="str">
        <f ca="1">MonitorProjetos!$E$149</f>
        <v/>
      </c>
      <c r="BS13" s="12">
        <f>MonitorProjetos!$I$149</f>
        <v>0</v>
      </c>
      <c r="BT13" s="12" t="str">
        <f ca="1">MonitorProjetos!$J$149</f>
        <v/>
      </c>
      <c r="BU13" s="12">
        <f>MonitorProjetos!$F$149</f>
        <v>0</v>
      </c>
      <c r="BV13">
        <f>'11'!$B$36</f>
        <v>0</v>
      </c>
      <c r="BW13" s="12">
        <f>'11'!$Z$36</f>
        <v>0</v>
      </c>
      <c r="BX13" s="12">
        <f>'11'!$AD$36</f>
        <v>0</v>
      </c>
      <c r="BY13" s="12">
        <f>MonitorProjetos!K150</f>
        <v>0</v>
      </c>
      <c r="BZ13" s="12">
        <f>MonitorProjetos!L150</f>
        <v>0</v>
      </c>
      <c r="CA13" s="12">
        <f>MonitorProjetos!M150</f>
        <v>0</v>
      </c>
      <c r="CB13" s="12">
        <f>MonitorProjetos!$G$150</f>
        <v>0</v>
      </c>
      <c r="CC13" s="12" t="str">
        <f ca="1">MonitorProjetos!$E$150</f>
        <v/>
      </c>
      <c r="CD13" s="12">
        <f>MonitorProjetos!$I$150</f>
        <v>0</v>
      </c>
      <c r="CE13" s="12" t="str">
        <f ca="1">MonitorProjetos!$J$150</f>
        <v/>
      </c>
      <c r="CF13" s="12">
        <f>MonitorProjetos!$F$150</f>
        <v>0</v>
      </c>
      <c r="CG13">
        <f>'11'!$B$37</f>
        <v>0</v>
      </c>
      <c r="CH13" s="12">
        <f>'11'!$Z$37</f>
        <v>0</v>
      </c>
      <c r="CI13" s="12">
        <f>'11'!$AD$37</f>
        <v>0</v>
      </c>
      <c r="CJ13" s="12">
        <f>MonitorProjetos!K151</f>
        <v>0</v>
      </c>
      <c r="CK13" s="12">
        <f>MonitorProjetos!L151</f>
        <v>0</v>
      </c>
      <c r="CL13" s="12">
        <f>MonitorProjetos!M151</f>
        <v>0</v>
      </c>
      <c r="CM13" s="12">
        <f>MonitorProjetos!$G$151</f>
        <v>0</v>
      </c>
      <c r="CN13" s="12" t="str">
        <f ca="1">MonitorProjetos!$E$151</f>
        <v/>
      </c>
      <c r="CO13" s="12">
        <f>MonitorProjetos!$I$151</f>
        <v>0</v>
      </c>
      <c r="CP13" s="12" t="str">
        <f ca="1">MonitorProjetos!$J$151</f>
        <v/>
      </c>
      <c r="CQ13" s="12">
        <f>MonitorProjetos!$F$151</f>
        <v>0</v>
      </c>
      <c r="CR13">
        <f>'11'!$B$38</f>
        <v>0</v>
      </c>
      <c r="CS13" s="12">
        <f>'11'!$Z$38</f>
        <v>0</v>
      </c>
      <c r="CT13" s="12">
        <f>'11'!$AD$38</f>
        <v>0</v>
      </c>
      <c r="CU13" s="12">
        <f>MonitorProjetos!K152</f>
        <v>0</v>
      </c>
      <c r="CV13" s="12">
        <f>MonitorProjetos!L152</f>
        <v>0</v>
      </c>
      <c r="CW13" s="12">
        <f>MonitorProjetos!M152</f>
        <v>0</v>
      </c>
      <c r="CX13" s="12">
        <f>MonitorProjetos!$G$152</f>
        <v>0</v>
      </c>
      <c r="CY13" s="12" t="str">
        <f ca="1">MonitorProjetos!$E$152</f>
        <v/>
      </c>
      <c r="CZ13" s="12">
        <f>MonitorProjetos!$I$152</f>
        <v>0</v>
      </c>
      <c r="DA13" s="12" t="str">
        <f ca="1">MonitorProjetos!$J$152</f>
        <v/>
      </c>
      <c r="DB13" s="12">
        <f>MonitorProjetos!$F$152</f>
        <v>0</v>
      </c>
      <c r="DC13">
        <f>'11'!$B$39</f>
        <v>0</v>
      </c>
      <c r="DD13" s="12">
        <f>'11'!$Z$39</f>
        <v>0</v>
      </c>
      <c r="DE13" s="12">
        <f>'11'!$AD$39</f>
        <v>0</v>
      </c>
      <c r="DF13" s="12">
        <f>MonitorProjetos!K153</f>
        <v>0</v>
      </c>
      <c r="DG13" s="12">
        <f>MonitorProjetos!L153</f>
        <v>0</v>
      </c>
      <c r="DH13" s="12">
        <f>MonitorProjetos!M153</f>
        <v>0</v>
      </c>
      <c r="DI13" s="12">
        <f>MonitorProjetos!$G$153</f>
        <v>0</v>
      </c>
      <c r="DJ13" s="12" t="str">
        <f ca="1">MonitorProjetos!$E$153</f>
        <v/>
      </c>
      <c r="DK13" s="12">
        <f>MonitorProjetos!$I$153</f>
        <v>0</v>
      </c>
      <c r="DL13" s="12" t="str">
        <f ca="1">MonitorProjetos!$J$153</f>
        <v/>
      </c>
      <c r="DM13" s="12">
        <f>MonitorProjetos!$F$153</f>
        <v>0</v>
      </c>
      <c r="DN13">
        <f>'11'!$B$40</f>
        <v>0</v>
      </c>
      <c r="DO13" s="12">
        <f>'11'!$Z$40</f>
        <v>0</v>
      </c>
      <c r="DP13" s="12">
        <f>'11'!$AD$40</f>
        <v>0</v>
      </c>
      <c r="DQ13" s="12">
        <f>MonitorProjetos!K154</f>
        <v>0</v>
      </c>
      <c r="DR13" s="12">
        <f>MonitorProjetos!L154</f>
        <v>0</v>
      </c>
      <c r="DS13" s="12">
        <f>MonitorProjetos!M154</f>
        <v>0</v>
      </c>
      <c r="DT13" s="12">
        <f>MonitorProjetos!$G$154</f>
        <v>0</v>
      </c>
      <c r="DU13" s="12" t="str">
        <f ca="1">MonitorProjetos!$E$154</f>
        <v/>
      </c>
      <c r="DV13" s="12">
        <f>MonitorProjetos!$I$154</f>
        <v>0</v>
      </c>
      <c r="DW13" s="12" t="str">
        <f ca="1">MonitorProjetos!$J$154</f>
        <v/>
      </c>
      <c r="DX13" s="12">
        <f>MonitorProjetos!$F$154</f>
        <v>0</v>
      </c>
      <c r="DY13">
        <f>'11'!$B$41</f>
        <v>0</v>
      </c>
      <c r="DZ13" s="12">
        <f>'11'!$Z$41</f>
        <v>0</v>
      </c>
      <c r="EA13" s="12">
        <f>'11'!$AD$41</f>
        <v>0</v>
      </c>
      <c r="EB13" s="12">
        <f>MonitorProjetos!K155</f>
        <v>0</v>
      </c>
      <c r="EC13" s="12">
        <f>MonitorProjetos!L155</f>
        <v>0</v>
      </c>
      <c r="ED13" s="12">
        <f>MonitorProjetos!M155</f>
        <v>0</v>
      </c>
      <c r="EE13" s="12">
        <f>MonitorProjetos!$G$155</f>
        <v>0</v>
      </c>
      <c r="EF13" s="12" t="str">
        <f ca="1">MonitorProjetos!$E$155</f>
        <v/>
      </c>
      <c r="EG13" s="12">
        <f>MonitorProjetos!$I$155</f>
        <v>0</v>
      </c>
      <c r="EH13" s="12" t="str">
        <f ca="1">MonitorProjetos!$J$155</f>
        <v/>
      </c>
      <c r="EI13" s="12">
        <f>MonitorProjetos!$F$155</f>
        <v>0</v>
      </c>
    </row>
    <row r="14" spans="1:139" hidden="1" x14ac:dyDescent="0.25">
      <c r="A14" s="52">
        <f t="shared" si="1"/>
        <v>12</v>
      </c>
      <c r="B14">
        <f>'12'!$H$8</f>
        <v>0</v>
      </c>
      <c r="C14">
        <f>'12'!$R$8</f>
        <v>0</v>
      </c>
      <c r="D14" t="str">
        <f>'12'!$Z$8</f>
        <v>Processo x</v>
      </c>
      <c r="E14">
        <f>'12'!$H$6</f>
        <v>0</v>
      </c>
      <c r="F14" t="str">
        <f>'12'!$H$7</f>
        <v>&lt;indicar iniciativas do PO que o projeto contribui &gt;</v>
      </c>
      <c r="G14">
        <f>'12'!$M$7</f>
        <v>0</v>
      </c>
      <c r="H14">
        <f>'12'!$R$7</f>
        <v>0</v>
      </c>
      <c r="I14">
        <f>'12'!$X$7</f>
        <v>0</v>
      </c>
      <c r="J14">
        <f>'12'!$AD$7</f>
        <v>0</v>
      </c>
      <c r="K14" t="str">
        <f>'12'!$H$10</f>
        <v>&lt; servidor com a responsabilidade de planejar e controlar a execução do projeto &gt;</v>
      </c>
      <c r="L14">
        <f>'12'!$H$6</f>
        <v>0</v>
      </c>
      <c r="M14">
        <f t="shared" si="0"/>
        <v>12</v>
      </c>
      <c r="N14" s="12">
        <f>'12'!$H$11</f>
        <v>0</v>
      </c>
      <c r="O14" s="13">
        <f>'12'!$AB$11</f>
        <v>0</v>
      </c>
      <c r="P14" t="str">
        <f>'12'!$I$12</f>
        <v>Fulano da Silva</v>
      </c>
      <c r="Q14">
        <f>'12'!$AD$12</f>
        <v>12345</v>
      </c>
      <c r="R14">
        <f>'12'!$I$13</f>
        <v>0</v>
      </c>
      <c r="S14">
        <f>'12'!$AD$13</f>
        <v>0</v>
      </c>
      <c r="T14">
        <f>'12'!$I$14</f>
        <v>0</v>
      </c>
      <c r="U14">
        <f>'12'!$AD$14</f>
        <v>0</v>
      </c>
      <c r="V14">
        <f>'12'!$I$15</f>
        <v>0</v>
      </c>
      <c r="W14">
        <f>'12'!$AD$15</f>
        <v>0</v>
      </c>
      <c r="X14">
        <f>'12'!$I$16</f>
        <v>0</v>
      </c>
      <c r="Y14">
        <f>'12'!$AD$16</f>
        <v>0</v>
      </c>
      <c r="Z14">
        <f>'12'!$I$17</f>
        <v>0</v>
      </c>
      <c r="AA14">
        <f>'12'!$AD$17</f>
        <v>0</v>
      </c>
      <c r="AB14">
        <f>'12'!$I$18</f>
        <v>0</v>
      </c>
      <c r="AC14">
        <f>'12'!$AD$18</f>
        <v>0</v>
      </c>
      <c r="AD14">
        <f>'12'!$B$32</f>
        <v>0</v>
      </c>
      <c r="AE14" s="12">
        <f>'12'!$Z$32</f>
        <v>0</v>
      </c>
      <c r="AF14" s="12">
        <f>'12'!$AD$32</f>
        <v>0</v>
      </c>
      <c r="AG14" s="12">
        <f>MonitorProjetos!K160</f>
        <v>0</v>
      </c>
      <c r="AH14" s="12">
        <f>MonitorProjetos!L60</f>
        <v>0</v>
      </c>
      <c r="AI14" s="12">
        <f>MonitorProjetos!M60</f>
        <v>0</v>
      </c>
      <c r="AJ14" s="12">
        <f>MonitorProjetos!$G$160</f>
        <v>0</v>
      </c>
      <c r="AK14" s="12" t="str">
        <f ca="1">MonitorProjetos!$E$160</f>
        <v/>
      </c>
      <c r="AL14" s="12">
        <f>MonitorProjetos!$I$160</f>
        <v>43647</v>
      </c>
      <c r="AM14" s="12" t="str">
        <f ca="1">MonitorProjetos!$J$160</f>
        <v/>
      </c>
      <c r="AN14" s="12" t="str">
        <f>MonitorProjetos!$F$160</f>
        <v>f</v>
      </c>
      <c r="AO14">
        <f>'12'!$B$33</f>
        <v>0</v>
      </c>
      <c r="AP14" s="12">
        <f>'12'!$Z$33</f>
        <v>0</v>
      </c>
      <c r="AQ14" s="12">
        <f>'12'!$AD$33</f>
        <v>0</v>
      </c>
      <c r="AR14" s="12">
        <f>MonitorProjetos!K18</f>
        <v>43708</v>
      </c>
      <c r="AS14" s="12">
        <f>MonitorProjetos!L161</f>
        <v>0</v>
      </c>
      <c r="AT14" s="35">
        <f>MonitorProjetos!M161</f>
        <v>0</v>
      </c>
      <c r="AU14" s="35">
        <f>MonitorProjetos!$G$161</f>
        <v>0</v>
      </c>
      <c r="AV14" s="35" t="str">
        <f ca="1">MonitorProjetos!$E$161</f>
        <v/>
      </c>
      <c r="AW14" s="35">
        <f>MonitorProjetos!$I$161</f>
        <v>0</v>
      </c>
      <c r="AX14" s="35" t="str">
        <f ca="1">MonitorProjetos!$J$161</f>
        <v/>
      </c>
      <c r="AY14" s="35">
        <f>MonitorProjetos!$F$161</f>
        <v>0</v>
      </c>
      <c r="AZ14">
        <f>'12'!$B$34</f>
        <v>0</v>
      </c>
      <c r="BA14" s="12">
        <f>'12'!$Z$34</f>
        <v>0</v>
      </c>
      <c r="BB14" s="12">
        <f>'12'!$AD$34</f>
        <v>0</v>
      </c>
      <c r="BC14" s="12">
        <f>MonitorProjetos!K162</f>
        <v>0</v>
      </c>
      <c r="BD14" s="12">
        <f>MonitorProjetos!L162</f>
        <v>0</v>
      </c>
      <c r="BE14" s="12">
        <f>MonitorProjetos!M162</f>
        <v>0</v>
      </c>
      <c r="BF14" s="12">
        <f>MonitorProjetos!$G$162</f>
        <v>0</v>
      </c>
      <c r="BG14" s="12" t="str">
        <f ca="1">MonitorProjetos!$E$162</f>
        <v/>
      </c>
      <c r="BH14" s="12">
        <f>MonitorProjetos!$I$162</f>
        <v>0</v>
      </c>
      <c r="BI14" s="12" t="str">
        <f ca="1">MonitorProjetos!$J$162</f>
        <v/>
      </c>
      <c r="BJ14" s="12">
        <f>MonitorProjetos!$F$162</f>
        <v>0</v>
      </c>
      <c r="BK14">
        <f>'12'!$B$35</f>
        <v>0</v>
      </c>
      <c r="BL14" s="12">
        <f>'12'!$Z$35</f>
        <v>0</v>
      </c>
      <c r="BM14" s="12">
        <f>'12'!$AD$35</f>
        <v>0</v>
      </c>
      <c r="BN14" s="12">
        <f>MonitorProjetos!K163</f>
        <v>0</v>
      </c>
      <c r="BO14" s="12">
        <f>MonitorProjetos!L163</f>
        <v>0</v>
      </c>
      <c r="BP14" s="12">
        <f>MonitorProjetos!M163</f>
        <v>0</v>
      </c>
      <c r="BQ14" s="12">
        <f>MonitorProjetos!$G$163</f>
        <v>0</v>
      </c>
      <c r="BR14" s="12" t="str">
        <f ca="1">MonitorProjetos!$E$163</f>
        <v/>
      </c>
      <c r="BS14" s="12">
        <f>MonitorProjetos!$I$163</f>
        <v>0</v>
      </c>
      <c r="BT14" s="12" t="str">
        <f ca="1">MonitorProjetos!$J$163</f>
        <v/>
      </c>
      <c r="BU14" s="12">
        <f>MonitorProjetos!$F$163</f>
        <v>0</v>
      </c>
      <c r="BV14">
        <f>'12'!$B$36</f>
        <v>0</v>
      </c>
      <c r="BW14" s="12">
        <f>'12'!$Z$36</f>
        <v>0</v>
      </c>
      <c r="BX14" s="12">
        <f>'12'!$AD$36</f>
        <v>0</v>
      </c>
      <c r="BY14" s="12">
        <f>MonitorProjetos!K164</f>
        <v>0</v>
      </c>
      <c r="BZ14" s="12">
        <f>MonitorProjetos!L164</f>
        <v>0</v>
      </c>
      <c r="CA14" s="12">
        <f>MonitorProjetos!M164</f>
        <v>0</v>
      </c>
      <c r="CB14" s="12">
        <f>MonitorProjetos!$G$164</f>
        <v>0</v>
      </c>
      <c r="CC14" s="12" t="str">
        <f ca="1">MonitorProjetos!$E$164</f>
        <v/>
      </c>
      <c r="CD14" s="12">
        <f>MonitorProjetos!$I$164</f>
        <v>0</v>
      </c>
      <c r="CE14" s="12" t="str">
        <f ca="1">MonitorProjetos!$J$164</f>
        <v/>
      </c>
      <c r="CF14" s="12">
        <f>MonitorProjetos!$F$164</f>
        <v>0</v>
      </c>
      <c r="CG14">
        <f>'12'!$B$37</f>
        <v>0</v>
      </c>
      <c r="CH14" s="12">
        <f>'12'!$Z$37</f>
        <v>0</v>
      </c>
      <c r="CI14" s="12">
        <f>'12'!$AD$37</f>
        <v>0</v>
      </c>
      <c r="CJ14" s="12">
        <f>MonitorProjetos!K165</f>
        <v>0</v>
      </c>
      <c r="CK14" s="12">
        <f>MonitorProjetos!L165</f>
        <v>0</v>
      </c>
      <c r="CL14" s="12">
        <f>MonitorProjetos!M165</f>
        <v>0</v>
      </c>
      <c r="CM14" s="12">
        <f>MonitorProjetos!$G$165</f>
        <v>0</v>
      </c>
      <c r="CN14" s="12" t="str">
        <f ca="1">MonitorProjetos!$E$165</f>
        <v/>
      </c>
      <c r="CO14" s="12">
        <f>MonitorProjetos!$I$165</f>
        <v>0</v>
      </c>
      <c r="CP14" s="12" t="str">
        <f ca="1">MonitorProjetos!$J$165</f>
        <v/>
      </c>
      <c r="CQ14" s="12">
        <f>MonitorProjetos!$F$165</f>
        <v>0</v>
      </c>
      <c r="CR14">
        <f>'12'!$B$38</f>
        <v>0</v>
      </c>
      <c r="CS14" s="12">
        <f>'12'!$Z$38</f>
        <v>0</v>
      </c>
      <c r="CT14" s="12">
        <f>'12'!$AD$38</f>
        <v>0</v>
      </c>
      <c r="CU14" s="12">
        <f>MonitorProjetos!K166</f>
        <v>0</v>
      </c>
      <c r="CV14" s="12">
        <f>MonitorProjetos!L166</f>
        <v>0</v>
      </c>
      <c r="CW14" s="12">
        <f>MonitorProjetos!M166</f>
        <v>0</v>
      </c>
      <c r="CX14" s="12">
        <f>MonitorProjetos!$G$166</f>
        <v>0</v>
      </c>
      <c r="CY14" s="12" t="str">
        <f ca="1">MonitorProjetos!$E$166</f>
        <v/>
      </c>
      <c r="CZ14" s="12">
        <f>MonitorProjetos!$I$166</f>
        <v>0</v>
      </c>
      <c r="DA14" s="12" t="str">
        <f ca="1">MonitorProjetos!$J$166</f>
        <v/>
      </c>
      <c r="DB14" s="12">
        <f>MonitorProjetos!$F$166</f>
        <v>0</v>
      </c>
      <c r="DC14">
        <f>'12'!$B$39</f>
        <v>0</v>
      </c>
      <c r="DD14" s="12">
        <f>'12'!$Z$39</f>
        <v>0</v>
      </c>
      <c r="DE14" s="12">
        <f>'12'!$AD$39</f>
        <v>0</v>
      </c>
      <c r="DF14" s="12">
        <f>MonitorProjetos!K167</f>
        <v>0</v>
      </c>
      <c r="DG14" s="12">
        <f>MonitorProjetos!L167</f>
        <v>0</v>
      </c>
      <c r="DH14" s="12">
        <f>MonitorProjetos!M167</f>
        <v>0</v>
      </c>
      <c r="DI14" s="12">
        <f>MonitorProjetos!$G$167</f>
        <v>0</v>
      </c>
      <c r="DJ14" s="12" t="str">
        <f ca="1">MonitorProjetos!$E$167</f>
        <v/>
      </c>
      <c r="DK14" s="12">
        <f>MonitorProjetos!$I$167</f>
        <v>0</v>
      </c>
      <c r="DL14" s="12" t="str">
        <f ca="1">MonitorProjetos!$J$167</f>
        <v/>
      </c>
      <c r="DM14" s="12">
        <f>MonitorProjetos!$F$167</f>
        <v>0</v>
      </c>
      <c r="DN14">
        <f>'12'!$B$40</f>
        <v>0</v>
      </c>
      <c r="DO14" s="12">
        <f>'12'!$Z$40</f>
        <v>0</v>
      </c>
      <c r="DP14" s="12">
        <f>'12'!$AD$40</f>
        <v>0</v>
      </c>
      <c r="DQ14" s="12">
        <f>MonitorProjetos!K168</f>
        <v>0</v>
      </c>
      <c r="DR14" s="12">
        <f>MonitorProjetos!L168</f>
        <v>0</v>
      </c>
      <c r="DS14" s="12">
        <f>MonitorProjetos!M168</f>
        <v>0</v>
      </c>
      <c r="DT14" s="12">
        <f>MonitorProjetos!$G$168</f>
        <v>0</v>
      </c>
      <c r="DU14" s="12" t="str">
        <f ca="1">MonitorProjetos!$E$168</f>
        <v/>
      </c>
      <c r="DV14" s="12">
        <f>MonitorProjetos!$I$168</f>
        <v>0</v>
      </c>
      <c r="DW14" s="12" t="str">
        <f ca="1">MonitorProjetos!$J$168</f>
        <v/>
      </c>
      <c r="DX14" s="12">
        <f>MonitorProjetos!$F$168</f>
        <v>0</v>
      </c>
      <c r="DY14">
        <f>'12'!$B$41</f>
        <v>0</v>
      </c>
      <c r="DZ14" s="12">
        <f>'12'!$Z$41</f>
        <v>0</v>
      </c>
      <c r="EA14" s="12">
        <f>'12'!$AD$41</f>
        <v>0</v>
      </c>
      <c r="EB14" s="12">
        <f>MonitorProjetos!K169</f>
        <v>0</v>
      </c>
      <c r="EC14" s="12">
        <f>MonitorProjetos!L169</f>
        <v>0</v>
      </c>
      <c r="ED14" s="12">
        <f>MonitorProjetos!M169</f>
        <v>0</v>
      </c>
      <c r="EE14" s="12">
        <f>MonitorProjetos!$G$169</f>
        <v>0</v>
      </c>
      <c r="EF14" s="12" t="str">
        <f ca="1">MonitorProjetos!$E$169</f>
        <v/>
      </c>
      <c r="EG14" s="12">
        <f>MonitorProjetos!$I$169</f>
        <v>0</v>
      </c>
      <c r="EH14" s="12" t="str">
        <f ca="1">MonitorProjetos!$J$169</f>
        <v/>
      </c>
      <c r="EI14" s="12">
        <f>MonitorProjetos!$F$169</f>
        <v>0</v>
      </c>
    </row>
    <row r="15" spans="1:139" hidden="1" x14ac:dyDescent="0.25">
      <c r="A15" s="52">
        <f t="shared" si="1"/>
        <v>13</v>
      </c>
      <c r="B15" t="str">
        <f>'13'!$H$8</f>
        <v>DTI</v>
      </c>
      <c r="C15" t="str">
        <f>'13'!$R$8</f>
        <v>CGSIS</v>
      </c>
      <c r="D15">
        <f>'13'!$Z$8</f>
        <v>123456789</v>
      </c>
      <c r="E15">
        <f>'13'!$H$6</f>
        <v>0</v>
      </c>
      <c r="F15" t="str">
        <f>'13'!$H$7</f>
        <v>&lt;indicar iniciativas do PO que o projeto contribui &gt;</v>
      </c>
      <c r="G15">
        <f>'13'!$M$7</f>
        <v>0</v>
      </c>
      <c r="H15">
        <f>'13'!$R$7</f>
        <v>0</v>
      </c>
      <c r="I15">
        <f>'13'!$X$7</f>
        <v>0</v>
      </c>
      <c r="J15">
        <f>'13'!$AD$7</f>
        <v>0</v>
      </c>
      <c r="K15" t="str">
        <f>'13'!$H$10</f>
        <v>&lt; servidor com a responsabilidade de planejar e controlar a execução do projeto &gt;</v>
      </c>
      <c r="L15">
        <f>'13'!$H$6</f>
        <v>0</v>
      </c>
      <c r="M15">
        <f t="shared" si="0"/>
        <v>13</v>
      </c>
      <c r="N15" s="12">
        <f>'13'!$H$11</f>
        <v>43647</v>
      </c>
      <c r="O15" s="13">
        <f>'13'!$AB$11</f>
        <v>43677</v>
      </c>
      <c r="P15" t="str">
        <f>'13'!$I$12</f>
        <v>Fulano da Silva</v>
      </c>
      <c r="Q15">
        <f>'13'!$AD$12</f>
        <v>12345</v>
      </c>
      <c r="R15">
        <f>'13'!$I$13</f>
        <v>0</v>
      </c>
      <c r="S15">
        <f>'13'!$AD$13</f>
        <v>0</v>
      </c>
      <c r="T15">
        <f>'13'!$I$14</f>
        <v>0</v>
      </c>
      <c r="U15">
        <f>'13'!$AD$14</f>
        <v>0</v>
      </c>
      <c r="V15">
        <f>'13'!$I$15</f>
        <v>0</v>
      </c>
      <c r="W15">
        <f>'13'!$AD$15</f>
        <v>0</v>
      </c>
      <c r="X15">
        <f>'13'!$I$16</f>
        <v>0</v>
      </c>
      <c r="Y15">
        <f>'13'!$AD$16</f>
        <v>0</v>
      </c>
      <c r="Z15">
        <f>'13'!$I$17</f>
        <v>0</v>
      </c>
      <c r="AA15">
        <f>'13'!$AD$17</f>
        <v>0</v>
      </c>
      <c r="AB15">
        <f>'13'!$I$18</f>
        <v>0</v>
      </c>
      <c r="AC15">
        <f>'13'!$AD$18</f>
        <v>0</v>
      </c>
      <c r="AD15">
        <f>'13'!$B$32</f>
        <v>0</v>
      </c>
      <c r="AE15" s="12">
        <f>'13'!$Z$32</f>
        <v>0</v>
      </c>
      <c r="AF15" s="12">
        <f>'13'!$AD$32</f>
        <v>0</v>
      </c>
      <c r="AG15" s="12">
        <f>MonitorProjetos!K174</f>
        <v>0</v>
      </c>
      <c r="AH15" s="12">
        <f>MonitorProjetos!L74</f>
        <v>0</v>
      </c>
      <c r="AI15" s="12">
        <f>MonitorProjetos!M74</f>
        <v>0</v>
      </c>
      <c r="AJ15" s="12">
        <f>MonitorProjetos!$G$174</f>
        <v>0</v>
      </c>
      <c r="AK15" s="12" t="str">
        <f ca="1">MonitorProjetos!$E$174</f>
        <v/>
      </c>
      <c r="AL15" s="12">
        <f>MonitorProjetos!$I$174</f>
        <v>43647</v>
      </c>
      <c r="AM15" s="12" t="str">
        <f ca="1">MonitorProjetos!$J$174</f>
        <v/>
      </c>
      <c r="AN15" s="12" t="str">
        <f>MonitorProjetos!$F$174</f>
        <v>f</v>
      </c>
      <c r="AO15">
        <f>'13'!$B$33</f>
        <v>0</v>
      </c>
      <c r="AP15" s="12">
        <f>'13'!$Z$33</f>
        <v>0</v>
      </c>
      <c r="AQ15" s="12">
        <f>'13'!$AD$33</f>
        <v>0</v>
      </c>
      <c r="AR15" s="12" t="str">
        <f>MonitorProjetos!K19</f>
        <v>Iniciada</v>
      </c>
      <c r="AS15" s="12">
        <f>MonitorProjetos!L175</f>
        <v>0</v>
      </c>
      <c r="AT15" s="35">
        <f>MonitorProjetos!M175</f>
        <v>0</v>
      </c>
      <c r="AU15" s="35">
        <f>MonitorProjetos!$G$175</f>
        <v>0</v>
      </c>
      <c r="AV15" s="35" t="str">
        <f ca="1">MonitorProjetos!$E$175</f>
        <v/>
      </c>
      <c r="AW15" s="35">
        <f>MonitorProjetos!$I$175</f>
        <v>0</v>
      </c>
      <c r="AX15" s="35" t="str">
        <f ca="1">MonitorProjetos!$J$175</f>
        <v/>
      </c>
      <c r="AY15" s="35">
        <f>MonitorProjetos!$F$175</f>
        <v>0</v>
      </c>
      <c r="AZ15">
        <f>'13'!$B$34</f>
        <v>0</v>
      </c>
      <c r="BA15" s="12">
        <f>'13'!$Z$34</f>
        <v>0</v>
      </c>
      <c r="BB15" s="12">
        <f>'13'!$AD$34</f>
        <v>0</v>
      </c>
      <c r="BC15" s="12">
        <f>MonitorProjetos!K176</f>
        <v>0</v>
      </c>
      <c r="BD15" s="12">
        <f>MonitorProjetos!L176</f>
        <v>0</v>
      </c>
      <c r="BE15" s="12">
        <f>MonitorProjetos!M176</f>
        <v>0</v>
      </c>
      <c r="BF15" s="12">
        <f>MonitorProjetos!$G$176</f>
        <v>0</v>
      </c>
      <c r="BG15" s="12" t="str">
        <f ca="1">MonitorProjetos!$E$176</f>
        <v/>
      </c>
      <c r="BH15" s="12">
        <f>MonitorProjetos!$I$176</f>
        <v>0</v>
      </c>
      <c r="BI15" s="12" t="str">
        <f ca="1">MonitorProjetos!$J$176</f>
        <v/>
      </c>
      <c r="BJ15" s="12">
        <f>MonitorProjetos!$F$176</f>
        <v>0</v>
      </c>
      <c r="BK15">
        <f>'13'!$B$35</f>
        <v>0</v>
      </c>
      <c r="BL15" s="12">
        <f>'13'!$Z$35</f>
        <v>0</v>
      </c>
      <c r="BM15" s="12">
        <f>'13'!$AD$35</f>
        <v>0</v>
      </c>
      <c r="BN15" s="12">
        <f>MonitorProjetos!K177</f>
        <v>0</v>
      </c>
      <c r="BO15" s="12">
        <f>MonitorProjetos!L177</f>
        <v>0</v>
      </c>
      <c r="BP15" s="12">
        <f>MonitorProjetos!M177</f>
        <v>0</v>
      </c>
      <c r="BQ15" s="12">
        <f>MonitorProjetos!$G$177</f>
        <v>0</v>
      </c>
      <c r="BR15" s="12" t="str">
        <f ca="1">MonitorProjetos!$E$177</f>
        <v/>
      </c>
      <c r="BS15" s="12">
        <f>MonitorProjetos!$I$177</f>
        <v>0</v>
      </c>
      <c r="BT15" s="12" t="str">
        <f ca="1">MonitorProjetos!$J$177</f>
        <v/>
      </c>
      <c r="BU15" s="12">
        <f>MonitorProjetos!$F$177</f>
        <v>0</v>
      </c>
      <c r="BV15">
        <f>'13'!$B$36</f>
        <v>0</v>
      </c>
      <c r="BW15" s="12">
        <f>'13'!$Z$36</f>
        <v>0</v>
      </c>
      <c r="BX15" s="12">
        <f>'13'!$AD$36</f>
        <v>0</v>
      </c>
      <c r="BY15" s="12">
        <f>MonitorProjetos!K178</f>
        <v>0</v>
      </c>
      <c r="BZ15" s="12">
        <f>MonitorProjetos!L178</f>
        <v>0</v>
      </c>
      <c r="CA15" s="12">
        <f>MonitorProjetos!M178</f>
        <v>0</v>
      </c>
      <c r="CB15" s="12">
        <f>MonitorProjetos!$G$178</f>
        <v>0</v>
      </c>
      <c r="CC15" s="12" t="str">
        <f ca="1">MonitorProjetos!$E$178</f>
        <v/>
      </c>
      <c r="CD15" s="12">
        <f>MonitorProjetos!$I$178</f>
        <v>0</v>
      </c>
      <c r="CE15" s="12" t="str">
        <f ca="1">MonitorProjetos!$J$178</f>
        <v/>
      </c>
      <c r="CF15" s="12">
        <f>MonitorProjetos!$F$178</f>
        <v>0</v>
      </c>
      <c r="CG15">
        <f>'13'!$B$37</f>
        <v>0</v>
      </c>
      <c r="CH15" s="12">
        <f>'13'!$Z$37</f>
        <v>0</v>
      </c>
      <c r="CI15" s="12">
        <f>'13'!$AD$37</f>
        <v>0</v>
      </c>
      <c r="CJ15" s="12">
        <f>MonitorProjetos!K179</f>
        <v>0</v>
      </c>
      <c r="CK15" s="12">
        <f>MonitorProjetos!L179</f>
        <v>0</v>
      </c>
      <c r="CL15" s="12">
        <f>MonitorProjetos!M179</f>
        <v>0</v>
      </c>
      <c r="CM15" s="12">
        <f>MonitorProjetos!$G$179</f>
        <v>0</v>
      </c>
      <c r="CN15" s="12" t="str">
        <f ca="1">MonitorProjetos!$E$179</f>
        <v/>
      </c>
      <c r="CO15" s="12">
        <f>MonitorProjetos!$I$179</f>
        <v>0</v>
      </c>
      <c r="CP15" s="12" t="str">
        <f ca="1">MonitorProjetos!$J$179</f>
        <v/>
      </c>
      <c r="CQ15" s="12">
        <f>MonitorProjetos!$F$179</f>
        <v>0</v>
      </c>
      <c r="CR15">
        <f>'13'!$B$38</f>
        <v>0</v>
      </c>
      <c r="CS15" s="12">
        <f>'13'!$Z$38</f>
        <v>0</v>
      </c>
      <c r="CT15" s="12">
        <f>'13'!$AD$38</f>
        <v>0</v>
      </c>
      <c r="CU15" s="12">
        <f>MonitorProjetos!K180</f>
        <v>0</v>
      </c>
      <c r="CV15" s="12">
        <f>MonitorProjetos!L180</f>
        <v>0</v>
      </c>
      <c r="CW15" s="12">
        <f>MonitorProjetos!M180</f>
        <v>0</v>
      </c>
      <c r="CX15" s="12">
        <f>MonitorProjetos!$G$180</f>
        <v>0</v>
      </c>
      <c r="CY15" s="12" t="str">
        <f ca="1">MonitorProjetos!$E$180</f>
        <v/>
      </c>
      <c r="CZ15" s="12">
        <f>MonitorProjetos!$I$180</f>
        <v>0</v>
      </c>
      <c r="DA15" s="12" t="str">
        <f ca="1">MonitorProjetos!$J$180</f>
        <v/>
      </c>
      <c r="DB15" s="12">
        <f>MonitorProjetos!$F$180</f>
        <v>0</v>
      </c>
      <c r="DC15">
        <f>'13'!$B$39</f>
        <v>0</v>
      </c>
      <c r="DD15" s="12">
        <f>'13'!$Z$39</f>
        <v>0</v>
      </c>
      <c r="DE15" s="12">
        <f>'13'!$AD$39</f>
        <v>0</v>
      </c>
      <c r="DF15" s="12">
        <f>MonitorProjetos!K181</f>
        <v>0</v>
      </c>
      <c r="DG15" s="12">
        <f>MonitorProjetos!L181</f>
        <v>0</v>
      </c>
      <c r="DH15" s="12">
        <f>MonitorProjetos!M181</f>
        <v>0</v>
      </c>
      <c r="DI15" s="12">
        <f>MonitorProjetos!$G$181</f>
        <v>0</v>
      </c>
      <c r="DJ15" s="12" t="str">
        <f ca="1">MonitorProjetos!$E$181</f>
        <v/>
      </c>
      <c r="DK15" s="12">
        <f>MonitorProjetos!$I$181</f>
        <v>0</v>
      </c>
      <c r="DL15" s="12" t="str">
        <f ca="1">MonitorProjetos!$J$181</f>
        <v/>
      </c>
      <c r="DM15" s="12">
        <f>MonitorProjetos!$F$181</f>
        <v>0</v>
      </c>
      <c r="DN15">
        <f>'13'!$B$40</f>
        <v>0</v>
      </c>
      <c r="DO15" s="12">
        <f>'13'!$Z$40</f>
        <v>0</v>
      </c>
      <c r="DP15" s="12">
        <f>'13'!$AD$40</f>
        <v>0</v>
      </c>
      <c r="DQ15" s="12">
        <f>MonitorProjetos!K182</f>
        <v>0</v>
      </c>
      <c r="DR15" s="12">
        <f>MonitorProjetos!L182</f>
        <v>0</v>
      </c>
      <c r="DS15" s="12">
        <f>MonitorProjetos!M182</f>
        <v>0</v>
      </c>
      <c r="DT15" s="12">
        <f>MonitorProjetos!$G$182</f>
        <v>0</v>
      </c>
      <c r="DU15" s="12" t="str">
        <f ca="1">MonitorProjetos!$E$182</f>
        <v/>
      </c>
      <c r="DV15" s="12">
        <f>MonitorProjetos!$I$182</f>
        <v>0</v>
      </c>
      <c r="DW15" s="12" t="str">
        <f ca="1">MonitorProjetos!$J$182</f>
        <v/>
      </c>
      <c r="DX15" s="12">
        <f>MonitorProjetos!$F$182</f>
        <v>0</v>
      </c>
      <c r="DY15">
        <f>'13'!$B$41</f>
        <v>0</v>
      </c>
      <c r="DZ15" s="12">
        <f>'13'!$Z$41</f>
        <v>0</v>
      </c>
      <c r="EA15" s="12">
        <f>'13'!$AD$41</f>
        <v>0</v>
      </c>
      <c r="EB15" s="12">
        <f>MonitorProjetos!K183</f>
        <v>0</v>
      </c>
      <c r="EC15" s="12">
        <f>MonitorProjetos!L183</f>
        <v>0</v>
      </c>
      <c r="ED15" s="12">
        <f>MonitorProjetos!M183</f>
        <v>0</v>
      </c>
      <c r="EE15" s="12">
        <f>MonitorProjetos!$G$183</f>
        <v>0</v>
      </c>
      <c r="EF15" s="12" t="str">
        <f ca="1">MonitorProjetos!$E$183</f>
        <v/>
      </c>
      <c r="EG15" s="12">
        <f>MonitorProjetos!$I$183</f>
        <v>0</v>
      </c>
      <c r="EH15" s="12" t="str">
        <f ca="1">MonitorProjetos!$J$183</f>
        <v/>
      </c>
      <c r="EI15" s="12">
        <f>MonitorProjetos!$F$183</f>
        <v>0</v>
      </c>
    </row>
    <row r="16" spans="1:139" hidden="1" x14ac:dyDescent="0.25">
      <c r="A16" s="52">
        <f t="shared" si="1"/>
        <v>14</v>
      </c>
      <c r="B16">
        <f>'14'!$H$8</f>
        <v>0</v>
      </c>
      <c r="C16">
        <f>'14'!$R$8</f>
        <v>0</v>
      </c>
      <c r="D16">
        <f>'14'!$Z$8</f>
        <v>0</v>
      </c>
      <c r="E16" t="str">
        <f>'14'!$H$6</f>
        <v>&lt;Nome curto / apelido / código do projeto &gt;</v>
      </c>
      <c r="F16" t="str">
        <f>'14'!$H$7</f>
        <v>&lt;indicar iniciativas do PO que o projeto contribui &gt;</v>
      </c>
      <c r="G16">
        <f>'14'!$M$7</f>
        <v>0</v>
      </c>
      <c r="H16">
        <f>'14'!$R$7</f>
        <v>0</v>
      </c>
      <c r="I16">
        <f>'14'!$X$7</f>
        <v>0</v>
      </c>
      <c r="J16">
        <f>'14'!$AD$7</f>
        <v>0</v>
      </c>
      <c r="K16" t="str">
        <f>'14'!$H$10</f>
        <v>&lt; servidor com a responsabilidade de planejar e controlar a execução do projeto &gt;</v>
      </c>
      <c r="L16" t="str">
        <f>'14'!$H$6</f>
        <v>&lt;Nome curto / apelido / código do projeto &gt;</v>
      </c>
      <c r="M16">
        <f t="shared" si="0"/>
        <v>14</v>
      </c>
      <c r="N16" s="12">
        <f>'14'!$H$11</f>
        <v>0</v>
      </c>
      <c r="O16" s="13">
        <f>'14'!$AB$11</f>
        <v>0</v>
      </c>
      <c r="P16" t="str">
        <f>'14'!$I$12</f>
        <v>Fulano da Silva</v>
      </c>
      <c r="Q16">
        <f>'14'!$AD$12</f>
        <v>12345</v>
      </c>
      <c r="R16">
        <f>'14'!$I$13</f>
        <v>0</v>
      </c>
      <c r="S16">
        <f>'14'!$AD$13</f>
        <v>0</v>
      </c>
      <c r="T16">
        <f>'14'!$I$14</f>
        <v>0</v>
      </c>
      <c r="U16">
        <f>'14'!$AD$14</f>
        <v>0</v>
      </c>
      <c r="V16">
        <f>'14'!$I$15</f>
        <v>0</v>
      </c>
      <c r="W16">
        <f>'14'!$AD$15</f>
        <v>0</v>
      </c>
      <c r="X16">
        <f>'14'!$I$16</f>
        <v>0</v>
      </c>
      <c r="Y16">
        <f>'14'!$AD$16</f>
        <v>0</v>
      </c>
      <c r="Z16">
        <f>'14'!$I$17</f>
        <v>0</v>
      </c>
      <c r="AA16">
        <f>'14'!$AD$17</f>
        <v>0</v>
      </c>
      <c r="AB16">
        <f>'14'!$I$18</f>
        <v>0</v>
      </c>
      <c r="AC16">
        <f>'14'!$AD$18</f>
        <v>0</v>
      </c>
      <c r="AD16">
        <f>'14'!$B$32</f>
        <v>0</v>
      </c>
      <c r="AE16" s="12">
        <f>'14'!$Z$32</f>
        <v>0</v>
      </c>
      <c r="AF16" s="12">
        <f>'14'!$AD$32</f>
        <v>0</v>
      </c>
      <c r="AG16" s="12">
        <f>MonitorProjetos!K188</f>
        <v>0</v>
      </c>
      <c r="AH16" s="12">
        <f>MonitorProjetos!L88</f>
        <v>0</v>
      </c>
      <c r="AI16" s="12">
        <f>MonitorProjetos!M88</f>
        <v>0</v>
      </c>
      <c r="AJ16" s="12">
        <f>MonitorProjetos!$G$188</f>
        <v>0</v>
      </c>
      <c r="AK16" s="12" t="str">
        <f ca="1">MonitorProjetos!$E$188</f>
        <v/>
      </c>
      <c r="AL16" s="12">
        <f>MonitorProjetos!$I$188</f>
        <v>43647</v>
      </c>
      <c r="AM16" s="12" t="str">
        <f ca="1">MonitorProjetos!$J$188</f>
        <v/>
      </c>
      <c r="AN16" s="12" t="str">
        <f>MonitorProjetos!$F$188</f>
        <v>f</v>
      </c>
      <c r="AO16">
        <f>'14'!$B$33</f>
        <v>0</v>
      </c>
      <c r="AP16" s="12">
        <f>'14'!$Z$33</f>
        <v>0</v>
      </c>
      <c r="AQ16" s="12">
        <f>'14'!$AD$33</f>
        <v>0</v>
      </c>
      <c r="AR16" s="12">
        <f>MonitorProjetos!K20</f>
        <v>0</v>
      </c>
      <c r="AS16" s="12">
        <f>MonitorProjetos!L189</f>
        <v>0</v>
      </c>
      <c r="AT16" s="35">
        <f>MonitorProjetos!M189</f>
        <v>0</v>
      </c>
      <c r="AU16" s="35">
        <f>MonitorProjetos!$G$189</f>
        <v>0</v>
      </c>
      <c r="AV16" s="35" t="str">
        <f ca="1">MonitorProjetos!$E$189</f>
        <v/>
      </c>
      <c r="AW16" s="35">
        <f>MonitorProjetos!$I$189</f>
        <v>0</v>
      </c>
      <c r="AX16" s="35" t="str">
        <f ca="1">MonitorProjetos!$J$189</f>
        <v/>
      </c>
      <c r="AY16" s="35">
        <f>MonitorProjetos!$F$189</f>
        <v>0</v>
      </c>
      <c r="AZ16">
        <f>'14'!$B$34</f>
        <v>0</v>
      </c>
      <c r="BA16" s="12">
        <f>'14'!$Z$34</f>
        <v>0</v>
      </c>
      <c r="BB16" s="12">
        <f>'14'!$AD$34</f>
        <v>0</v>
      </c>
      <c r="BC16" s="12">
        <f>MonitorProjetos!K190</f>
        <v>0</v>
      </c>
      <c r="BD16" s="12">
        <f>MonitorProjetos!L190</f>
        <v>0</v>
      </c>
      <c r="BE16" s="12">
        <f>MonitorProjetos!M190</f>
        <v>0</v>
      </c>
      <c r="BF16" s="12">
        <f>MonitorProjetos!$G$190</f>
        <v>0</v>
      </c>
      <c r="BG16" s="12" t="str">
        <f ca="1">MonitorProjetos!$E$190</f>
        <v/>
      </c>
      <c r="BH16" s="12">
        <f>MonitorProjetos!$I$190</f>
        <v>0</v>
      </c>
      <c r="BI16" s="12" t="str">
        <f ca="1">MonitorProjetos!$J$190</f>
        <v/>
      </c>
      <c r="BJ16" s="12">
        <f>MonitorProjetos!$F$190</f>
        <v>0</v>
      </c>
      <c r="BK16">
        <f>'14'!$B$35</f>
        <v>0</v>
      </c>
      <c r="BL16" s="12">
        <f>'14'!$Z$35</f>
        <v>0</v>
      </c>
      <c r="BM16" s="12">
        <f>'14'!$AD$35</f>
        <v>0</v>
      </c>
      <c r="BN16" s="12">
        <f>MonitorProjetos!K191</f>
        <v>0</v>
      </c>
      <c r="BO16" s="12">
        <f>MonitorProjetos!L191</f>
        <v>0</v>
      </c>
      <c r="BP16" s="12">
        <f>MonitorProjetos!M191</f>
        <v>0</v>
      </c>
      <c r="BQ16" s="12">
        <f>MonitorProjetos!$G$191</f>
        <v>0</v>
      </c>
      <c r="BR16" s="12" t="str">
        <f ca="1">MonitorProjetos!$E$191</f>
        <v/>
      </c>
      <c r="BS16" s="12">
        <f>MonitorProjetos!$I$191</f>
        <v>0</v>
      </c>
      <c r="BT16" s="12" t="str">
        <f ca="1">MonitorProjetos!$J$191</f>
        <v/>
      </c>
      <c r="BU16" s="12">
        <f>MonitorProjetos!$F$191</f>
        <v>0</v>
      </c>
      <c r="BV16">
        <f>'14'!$B$36</f>
        <v>0</v>
      </c>
      <c r="BW16" s="12">
        <f>'14'!$Z$36</f>
        <v>0</v>
      </c>
      <c r="BX16" s="12">
        <f>'14'!$AD$36</f>
        <v>0</v>
      </c>
      <c r="BY16" s="12">
        <f>MonitorProjetos!K192</f>
        <v>0</v>
      </c>
      <c r="BZ16" s="12">
        <f>MonitorProjetos!L192</f>
        <v>0</v>
      </c>
      <c r="CA16" s="12">
        <f>MonitorProjetos!M192</f>
        <v>0</v>
      </c>
      <c r="CB16" s="12">
        <f>MonitorProjetos!$G$192</f>
        <v>0</v>
      </c>
      <c r="CC16" s="12" t="str">
        <f ca="1">MonitorProjetos!$E$192</f>
        <v/>
      </c>
      <c r="CD16" s="12">
        <f>MonitorProjetos!$I$192</f>
        <v>0</v>
      </c>
      <c r="CE16" s="12" t="str">
        <f ca="1">MonitorProjetos!$J$192</f>
        <v/>
      </c>
      <c r="CF16" s="12">
        <f>MonitorProjetos!$F$192</f>
        <v>0</v>
      </c>
      <c r="CG16">
        <f>'14'!$B$37</f>
        <v>0</v>
      </c>
      <c r="CH16" s="12">
        <f>'14'!$Z$37</f>
        <v>0</v>
      </c>
      <c r="CI16" s="12">
        <f>'14'!$AD$37</f>
        <v>0</v>
      </c>
      <c r="CJ16" s="12">
        <f>MonitorProjetos!K193</f>
        <v>0</v>
      </c>
      <c r="CK16" s="12">
        <f>MonitorProjetos!L193</f>
        <v>0</v>
      </c>
      <c r="CL16" s="12">
        <f>MonitorProjetos!M193</f>
        <v>0</v>
      </c>
      <c r="CM16" s="12">
        <f>MonitorProjetos!$G$193</f>
        <v>0</v>
      </c>
      <c r="CN16" s="12" t="str">
        <f ca="1">MonitorProjetos!$E$193</f>
        <v/>
      </c>
      <c r="CO16" s="12">
        <f>MonitorProjetos!$I$193</f>
        <v>0</v>
      </c>
      <c r="CP16" s="12" t="str">
        <f ca="1">MonitorProjetos!$J$193</f>
        <v/>
      </c>
      <c r="CQ16" s="12">
        <f>MonitorProjetos!$F$193</f>
        <v>0</v>
      </c>
      <c r="CR16">
        <f>'14'!$B$38</f>
        <v>0</v>
      </c>
      <c r="CS16" s="12">
        <f>'14'!$Z$38</f>
        <v>0</v>
      </c>
      <c r="CT16" s="12">
        <f>'14'!$AD$38</f>
        <v>0</v>
      </c>
      <c r="CU16" s="12">
        <f>MonitorProjetos!K194</f>
        <v>0</v>
      </c>
      <c r="CV16" s="12">
        <f>MonitorProjetos!L194</f>
        <v>0</v>
      </c>
      <c r="CW16" s="12">
        <f>MonitorProjetos!M194</f>
        <v>0</v>
      </c>
      <c r="CX16" s="12">
        <f>MonitorProjetos!$G$194</f>
        <v>0</v>
      </c>
      <c r="CY16" s="12" t="str">
        <f ca="1">MonitorProjetos!$E$194</f>
        <v/>
      </c>
      <c r="CZ16" s="12">
        <f>MonitorProjetos!$I$194</f>
        <v>0</v>
      </c>
      <c r="DA16" s="12" t="str">
        <f ca="1">MonitorProjetos!$J$194</f>
        <v/>
      </c>
      <c r="DB16" s="12">
        <f>MonitorProjetos!$F$194</f>
        <v>0</v>
      </c>
      <c r="DC16">
        <f>'14'!$B$39</f>
        <v>0</v>
      </c>
      <c r="DD16" s="12">
        <f>'14'!$Z$39</f>
        <v>0</v>
      </c>
      <c r="DE16" s="12">
        <f>'14'!$AD$39</f>
        <v>0</v>
      </c>
      <c r="DF16" s="12">
        <f>MonitorProjetos!K195</f>
        <v>0</v>
      </c>
      <c r="DG16" s="12">
        <f>MonitorProjetos!L195</f>
        <v>0</v>
      </c>
      <c r="DH16" s="12">
        <f>MonitorProjetos!M195</f>
        <v>0</v>
      </c>
      <c r="DI16" s="12">
        <f>MonitorProjetos!$G$195</f>
        <v>0</v>
      </c>
      <c r="DJ16" s="12" t="str">
        <f ca="1">MonitorProjetos!$E$195</f>
        <v/>
      </c>
      <c r="DK16" s="12">
        <f>MonitorProjetos!$I$195</f>
        <v>0</v>
      </c>
      <c r="DL16" s="12" t="str">
        <f ca="1">MonitorProjetos!$J$195</f>
        <v/>
      </c>
      <c r="DM16" s="12">
        <f>MonitorProjetos!$F$195</f>
        <v>0</v>
      </c>
      <c r="DN16">
        <f>'14'!$B$40</f>
        <v>0</v>
      </c>
      <c r="DO16" s="12">
        <f>'14'!$Z$40</f>
        <v>0</v>
      </c>
      <c r="DP16" s="12">
        <f>'14'!$AD$40</f>
        <v>0</v>
      </c>
      <c r="DQ16" s="12">
        <f>MonitorProjetos!K196</f>
        <v>0</v>
      </c>
      <c r="DR16" s="12">
        <f>MonitorProjetos!L196</f>
        <v>0</v>
      </c>
      <c r="DS16" s="12">
        <f>MonitorProjetos!M196</f>
        <v>0</v>
      </c>
      <c r="DT16" s="12">
        <f>MonitorProjetos!$G$196</f>
        <v>0</v>
      </c>
      <c r="DU16" s="12" t="str">
        <f ca="1">MonitorProjetos!$E$196</f>
        <v/>
      </c>
      <c r="DV16" s="12">
        <f>MonitorProjetos!$I$196</f>
        <v>0</v>
      </c>
      <c r="DW16" s="12" t="str">
        <f ca="1">MonitorProjetos!$J$196</f>
        <v/>
      </c>
      <c r="DX16" s="12">
        <f>MonitorProjetos!$F$196</f>
        <v>0</v>
      </c>
      <c r="DY16">
        <f>'14'!$B$41</f>
        <v>0</v>
      </c>
      <c r="DZ16" s="12">
        <f>'14'!$Z$41</f>
        <v>0</v>
      </c>
      <c r="EA16" s="12">
        <f>'14'!$AD$41</f>
        <v>0</v>
      </c>
      <c r="EB16" s="12">
        <f>MonitorProjetos!K197</f>
        <v>0</v>
      </c>
      <c r="EC16" s="12">
        <f>MonitorProjetos!L197</f>
        <v>0</v>
      </c>
      <c r="ED16" s="12">
        <f>MonitorProjetos!M197</f>
        <v>0</v>
      </c>
      <c r="EE16" s="12">
        <f>MonitorProjetos!$G$197</f>
        <v>0</v>
      </c>
      <c r="EF16" s="12" t="str">
        <f ca="1">MonitorProjetos!$E$197</f>
        <v/>
      </c>
      <c r="EG16" s="12">
        <f>MonitorProjetos!$I$197</f>
        <v>0</v>
      </c>
      <c r="EH16" s="12" t="str">
        <f ca="1">MonitorProjetos!$J$197</f>
        <v/>
      </c>
      <c r="EI16" s="12">
        <f>MonitorProjetos!$F$197</f>
        <v>0</v>
      </c>
    </row>
    <row r="17" spans="1:139" hidden="1" x14ac:dyDescent="0.25">
      <c r="A17" s="52">
        <f t="shared" si="1"/>
        <v>15</v>
      </c>
      <c r="B17">
        <f>'15'!$H$8</f>
        <v>0</v>
      </c>
      <c r="C17">
        <f>'15'!$R$8</f>
        <v>0</v>
      </c>
      <c r="D17">
        <f>'15'!$Z$8</f>
        <v>0</v>
      </c>
      <c r="E17" t="str">
        <f>'15'!$H$6</f>
        <v>&lt;Nome curto / apelido / código do projeto &gt;</v>
      </c>
      <c r="F17" t="str">
        <f>'15'!$H$7</f>
        <v>&lt;indicar iniciativas do PO que o projeto contribui &gt;</v>
      </c>
      <c r="G17">
        <f>'15'!$M$7</f>
        <v>0</v>
      </c>
      <c r="H17">
        <f>'15'!$R$7</f>
        <v>0</v>
      </c>
      <c r="I17">
        <f>'15'!$X$7</f>
        <v>0</v>
      </c>
      <c r="J17">
        <f>'15'!$AD$7</f>
        <v>0</v>
      </c>
      <c r="K17" t="str">
        <f>'15'!$H$10</f>
        <v>&lt; servidor com a responsabilidade de planejar e controlar a execução do projeto &gt;</v>
      </c>
      <c r="L17" t="str">
        <f>'15'!$H$6</f>
        <v>&lt;Nome curto / apelido / código do projeto &gt;</v>
      </c>
      <c r="M17">
        <f t="shared" si="0"/>
        <v>15</v>
      </c>
      <c r="N17" s="12">
        <f>'15'!$H$11</f>
        <v>0</v>
      </c>
      <c r="O17" s="13">
        <f>'15'!$AB$11</f>
        <v>0</v>
      </c>
      <c r="P17" t="str">
        <f>'15'!$I$12</f>
        <v>Fulano da Silva</v>
      </c>
      <c r="Q17">
        <f>'15'!$AD$12</f>
        <v>12345</v>
      </c>
      <c r="R17">
        <f>'15'!$I$13</f>
        <v>0</v>
      </c>
      <c r="S17">
        <f>'15'!$AD$13</f>
        <v>0</v>
      </c>
      <c r="T17">
        <f>'15'!$I$14</f>
        <v>0</v>
      </c>
      <c r="U17">
        <f>'15'!$AD$14</f>
        <v>0</v>
      </c>
      <c r="V17">
        <f>'15'!$I$15</f>
        <v>0</v>
      </c>
      <c r="W17">
        <f>'15'!$AD$15</f>
        <v>0</v>
      </c>
      <c r="X17">
        <f>'15'!$I$16</f>
        <v>0</v>
      </c>
      <c r="Y17">
        <f>'15'!$AD$16</f>
        <v>0</v>
      </c>
      <c r="Z17">
        <f>'15'!$I$17</f>
        <v>0</v>
      </c>
      <c r="AA17">
        <f>'15'!$AD$17</f>
        <v>0</v>
      </c>
      <c r="AB17">
        <f>'15'!$I$18</f>
        <v>0</v>
      </c>
      <c r="AC17">
        <f>'15'!$AD$18</f>
        <v>0</v>
      </c>
      <c r="AD17">
        <f>'15'!$B$32</f>
        <v>0</v>
      </c>
      <c r="AE17" s="12">
        <f>'15'!$Z$32</f>
        <v>0</v>
      </c>
      <c r="AF17" s="12">
        <f>'15'!$AD$32</f>
        <v>0</v>
      </c>
      <c r="AG17" s="12">
        <f>MonitorProjetos!K202</f>
        <v>0</v>
      </c>
      <c r="AH17" s="12">
        <f>MonitorProjetos!L202</f>
        <v>43559</v>
      </c>
      <c r="AI17" s="12">
        <f>MonitorProjetos!M202</f>
        <v>0</v>
      </c>
      <c r="AJ17" s="12">
        <f>MonitorProjetos!$G$202</f>
        <v>0</v>
      </c>
      <c r="AK17" s="12" t="str">
        <f>MonitorProjetos!$E$202</f>
        <v>Concluída</v>
      </c>
      <c r="AL17" s="12">
        <f>MonitorProjetos!$I$202</f>
        <v>43647</v>
      </c>
      <c r="AM17" s="12">
        <f>MonitorProjetos!$J$202</f>
        <v>43647</v>
      </c>
      <c r="AN17" s="12" t="str">
        <f>MonitorProjetos!$F$202</f>
        <v>f</v>
      </c>
      <c r="AO17">
        <f>'15'!$B$33</f>
        <v>0</v>
      </c>
      <c r="AP17" s="12">
        <f>'15'!$Z$33</f>
        <v>0</v>
      </c>
      <c r="AQ17" s="12">
        <f>'15'!$AD$33</f>
        <v>0</v>
      </c>
      <c r="AR17" s="12">
        <f>MonitorProjetos!K21</f>
        <v>0</v>
      </c>
      <c r="AS17" s="12">
        <f>MonitorProjetos!L203</f>
        <v>0</v>
      </c>
      <c r="AT17" s="35">
        <f>MonitorProjetos!M203</f>
        <v>0</v>
      </c>
      <c r="AU17" s="35">
        <f>MonitorProjetos!$G$203</f>
        <v>0</v>
      </c>
      <c r="AV17" s="35" t="str">
        <f ca="1">MonitorProjetos!$E$203</f>
        <v/>
      </c>
      <c r="AW17" s="35">
        <f>MonitorProjetos!$I$203</f>
        <v>0</v>
      </c>
      <c r="AX17" s="35" t="str">
        <f ca="1">MonitorProjetos!$J$203</f>
        <v/>
      </c>
      <c r="AY17" s="35">
        <f>MonitorProjetos!$F$203</f>
        <v>0</v>
      </c>
      <c r="AZ17">
        <f>'15'!$B$34</f>
        <v>0</v>
      </c>
      <c r="BA17" s="12">
        <f>'15'!$Z$34</f>
        <v>0</v>
      </c>
      <c r="BB17" s="12">
        <f>'15'!$AD$34</f>
        <v>0</v>
      </c>
      <c r="BC17" s="12">
        <f>MonitorProjetos!K204</f>
        <v>0</v>
      </c>
      <c r="BD17" s="12">
        <f>MonitorProjetos!L204</f>
        <v>0</v>
      </c>
      <c r="BE17" s="12">
        <f>MonitorProjetos!M204</f>
        <v>0</v>
      </c>
      <c r="BF17" s="12">
        <f>MonitorProjetos!$G$204</f>
        <v>0</v>
      </c>
      <c r="BG17" s="12" t="str">
        <f ca="1">MonitorProjetos!$E$204</f>
        <v/>
      </c>
      <c r="BH17" s="12">
        <f>MonitorProjetos!$I$204</f>
        <v>0</v>
      </c>
      <c r="BI17" s="12" t="str">
        <f ca="1">MonitorProjetos!$J$204</f>
        <v/>
      </c>
      <c r="BJ17" s="12">
        <f>MonitorProjetos!$F$204</f>
        <v>0</v>
      </c>
      <c r="BK17">
        <f>'15'!$B$35</f>
        <v>0</v>
      </c>
      <c r="BL17" s="12">
        <f>'15'!$Z$35</f>
        <v>0</v>
      </c>
      <c r="BM17" s="12">
        <f>'15'!$AD$35</f>
        <v>0</v>
      </c>
      <c r="BN17" s="12">
        <f>MonitorProjetos!K205</f>
        <v>0</v>
      </c>
      <c r="BO17" s="12">
        <f>MonitorProjetos!L205</f>
        <v>0</v>
      </c>
      <c r="BP17" s="12">
        <f>MonitorProjetos!M205</f>
        <v>0</v>
      </c>
      <c r="BQ17" s="12">
        <f>MonitorProjetos!$G$205</f>
        <v>0</v>
      </c>
      <c r="BR17" s="12" t="str">
        <f ca="1">MonitorProjetos!$E$205</f>
        <v/>
      </c>
      <c r="BS17" s="12">
        <f>MonitorProjetos!$I$205</f>
        <v>0</v>
      </c>
      <c r="BT17" s="12" t="str">
        <f ca="1">MonitorProjetos!$J$205</f>
        <v/>
      </c>
      <c r="BU17" s="12">
        <f>MonitorProjetos!$F$205</f>
        <v>0</v>
      </c>
      <c r="BV17">
        <f>'15'!$B$36</f>
        <v>0</v>
      </c>
      <c r="BW17" s="12">
        <f>'15'!$Z$36</f>
        <v>0</v>
      </c>
      <c r="BX17" s="12">
        <f>'15'!$AD$36</f>
        <v>0</v>
      </c>
      <c r="BY17" s="12">
        <f>MonitorProjetos!K206</f>
        <v>0</v>
      </c>
      <c r="BZ17" s="12">
        <f>MonitorProjetos!L206</f>
        <v>0</v>
      </c>
      <c r="CA17" s="12">
        <f>MonitorProjetos!M206</f>
        <v>0</v>
      </c>
      <c r="CB17" s="12">
        <f>MonitorProjetos!$G$206</f>
        <v>0</v>
      </c>
      <c r="CC17" s="12" t="str">
        <f ca="1">MonitorProjetos!$E$206</f>
        <v/>
      </c>
      <c r="CD17" s="12">
        <f>MonitorProjetos!$I$206</f>
        <v>0</v>
      </c>
      <c r="CE17" s="12" t="str">
        <f ca="1">MonitorProjetos!$J$206</f>
        <v/>
      </c>
      <c r="CF17" s="12">
        <f>MonitorProjetos!$F$206</f>
        <v>0</v>
      </c>
      <c r="CG17">
        <f>'15'!$B$37</f>
        <v>0</v>
      </c>
      <c r="CH17" s="12">
        <f>'15'!$Z$37</f>
        <v>0</v>
      </c>
      <c r="CI17" s="12">
        <f>'15'!$AD$37</f>
        <v>0</v>
      </c>
      <c r="CJ17" s="12">
        <f>MonitorProjetos!K207</f>
        <v>0</v>
      </c>
      <c r="CK17" s="12">
        <f>MonitorProjetos!L207</f>
        <v>0</v>
      </c>
      <c r="CL17" s="12">
        <f>MonitorProjetos!M207</f>
        <v>0</v>
      </c>
      <c r="CM17" s="12">
        <f>MonitorProjetos!$G$207</f>
        <v>0</v>
      </c>
      <c r="CN17" s="12" t="str">
        <f ca="1">MonitorProjetos!$E$207</f>
        <v/>
      </c>
      <c r="CO17" s="12">
        <f>MonitorProjetos!$I$207</f>
        <v>0</v>
      </c>
      <c r="CP17" s="12" t="str">
        <f ca="1">MonitorProjetos!$J$207</f>
        <v/>
      </c>
      <c r="CQ17" s="12">
        <f>MonitorProjetos!$F$207</f>
        <v>0</v>
      </c>
      <c r="CR17">
        <f>'15'!$B$38</f>
        <v>0</v>
      </c>
      <c r="CS17" s="12">
        <f>'15'!$Z$38</f>
        <v>0</v>
      </c>
      <c r="CT17" s="12">
        <f>'15'!$AD$38</f>
        <v>0</v>
      </c>
      <c r="CU17" s="12">
        <f>MonitorProjetos!K208</f>
        <v>0</v>
      </c>
      <c r="CV17" s="12">
        <f>MonitorProjetos!L208</f>
        <v>0</v>
      </c>
      <c r="CW17" s="12">
        <f>MonitorProjetos!M208</f>
        <v>0</v>
      </c>
      <c r="CX17" s="12">
        <f>MonitorProjetos!$G$208</f>
        <v>0</v>
      </c>
      <c r="CY17" s="12" t="str">
        <f ca="1">MonitorProjetos!$E$208</f>
        <v/>
      </c>
      <c r="CZ17" s="12">
        <f>MonitorProjetos!$I$208</f>
        <v>0</v>
      </c>
      <c r="DA17" s="12" t="str">
        <f ca="1">MonitorProjetos!$J$208</f>
        <v/>
      </c>
      <c r="DB17" s="12">
        <f>MonitorProjetos!$F$208</f>
        <v>0</v>
      </c>
      <c r="DC17">
        <f>'15'!$B$39</f>
        <v>0</v>
      </c>
      <c r="DD17" s="12">
        <f>'15'!$Z$39</f>
        <v>0</v>
      </c>
      <c r="DE17" s="12">
        <f>'15'!$AD$39</f>
        <v>0</v>
      </c>
      <c r="DF17" s="12">
        <f>MonitorProjetos!K209</f>
        <v>0</v>
      </c>
      <c r="DG17" s="12">
        <f>MonitorProjetos!L209</f>
        <v>0</v>
      </c>
      <c r="DH17" s="12">
        <f>MonitorProjetos!M209</f>
        <v>0</v>
      </c>
      <c r="DI17" s="12">
        <f>MonitorProjetos!$G$209</f>
        <v>0</v>
      </c>
      <c r="DJ17" s="12" t="str">
        <f ca="1">MonitorProjetos!$E$209</f>
        <v/>
      </c>
      <c r="DK17" s="12">
        <f>MonitorProjetos!$I$209</f>
        <v>0</v>
      </c>
      <c r="DL17" s="12" t="str">
        <f ca="1">MonitorProjetos!$J$209</f>
        <v/>
      </c>
      <c r="DM17" s="12">
        <f>MonitorProjetos!$F$209</f>
        <v>0</v>
      </c>
      <c r="DN17">
        <f>'15'!$B$40</f>
        <v>0</v>
      </c>
      <c r="DO17" s="12">
        <f>'15'!$Z$40</f>
        <v>0</v>
      </c>
      <c r="DP17" s="12">
        <f>'15'!$AD$40</f>
        <v>0</v>
      </c>
      <c r="DQ17" s="12">
        <f>MonitorProjetos!K210</f>
        <v>0</v>
      </c>
      <c r="DR17" s="12">
        <f>MonitorProjetos!L210</f>
        <v>0</v>
      </c>
      <c r="DS17" s="12">
        <f>MonitorProjetos!M210</f>
        <v>0</v>
      </c>
      <c r="DT17" s="12">
        <f>MonitorProjetos!$G$210</f>
        <v>0</v>
      </c>
      <c r="DU17" s="12" t="str">
        <f ca="1">MonitorProjetos!$E$210</f>
        <v/>
      </c>
      <c r="DV17" s="12">
        <f>MonitorProjetos!$I$210</f>
        <v>0</v>
      </c>
      <c r="DW17" s="12" t="str">
        <f ca="1">MonitorProjetos!$J$210</f>
        <v/>
      </c>
      <c r="DX17" s="12">
        <f>MonitorProjetos!$F$210</f>
        <v>0</v>
      </c>
      <c r="DY17">
        <f>'15'!$B$41</f>
        <v>0</v>
      </c>
      <c r="DZ17" s="12">
        <f>'15'!$Z$41</f>
        <v>0</v>
      </c>
      <c r="EA17" s="12">
        <f>'15'!$AD$41</f>
        <v>0</v>
      </c>
      <c r="EB17" s="12">
        <f>MonitorProjetos!K211</f>
        <v>0</v>
      </c>
      <c r="EC17" s="12">
        <f>MonitorProjetos!L211</f>
        <v>0</v>
      </c>
      <c r="ED17" s="12">
        <f>MonitorProjetos!M211</f>
        <v>0</v>
      </c>
      <c r="EE17" s="12">
        <f>MonitorProjetos!$G$211</f>
        <v>0</v>
      </c>
      <c r="EF17" s="12" t="str">
        <f ca="1">MonitorProjetos!$E$211</f>
        <v/>
      </c>
      <c r="EG17" s="12">
        <f>MonitorProjetos!$I$211</f>
        <v>0</v>
      </c>
      <c r="EH17" s="12" t="str">
        <f ca="1">MonitorProjetos!$J$211</f>
        <v/>
      </c>
      <c r="EI17" s="12">
        <f>MonitorProjetos!$F$211</f>
        <v>0</v>
      </c>
    </row>
    <row r="18" spans="1:139" hidden="1" x14ac:dyDescent="0.25">
      <c r="A18" s="52">
        <f t="shared" si="1"/>
        <v>16</v>
      </c>
      <c r="B18">
        <f>'16'!$H$8</f>
        <v>0</v>
      </c>
      <c r="C18">
        <f>'16'!$R$8</f>
        <v>0</v>
      </c>
      <c r="D18">
        <f>'16'!$Z$8</f>
        <v>0</v>
      </c>
      <c r="E18" t="str">
        <f>'16'!$H$6</f>
        <v>&lt;Nome curto / apelido / código do projeto &gt;</v>
      </c>
      <c r="F18" t="str">
        <f>'16'!$H$7</f>
        <v>&lt;indicar iniciativas do PO que o projeto contribui &gt;</v>
      </c>
      <c r="G18">
        <f>'16'!$M$7</f>
        <v>0</v>
      </c>
      <c r="H18">
        <f>'16'!$R$7</f>
        <v>0</v>
      </c>
      <c r="I18">
        <f>'16'!$X$7</f>
        <v>0</v>
      </c>
      <c r="J18">
        <f>'16'!$AD$7</f>
        <v>0</v>
      </c>
      <c r="K18" t="str">
        <f>'16'!$H$10</f>
        <v>&lt; servidor com a responsabilidade de planejar e controlar a execução do projeto &gt;</v>
      </c>
      <c r="L18" t="str">
        <f>'16'!$H$6</f>
        <v>&lt;Nome curto / apelido / código do projeto &gt;</v>
      </c>
      <c r="M18">
        <f t="shared" si="0"/>
        <v>16</v>
      </c>
      <c r="N18" s="12">
        <f>'16'!$H$11</f>
        <v>0</v>
      </c>
      <c r="O18" s="13">
        <f>'16'!$AB$11</f>
        <v>0</v>
      </c>
      <c r="P18" t="str">
        <f>'16'!$I$12</f>
        <v>Fulano da Silva</v>
      </c>
      <c r="Q18">
        <f>'16'!$AD$12</f>
        <v>12345</v>
      </c>
      <c r="R18">
        <f>'16'!$I$13</f>
        <v>0</v>
      </c>
      <c r="S18">
        <f>'16'!$AD$13</f>
        <v>0</v>
      </c>
      <c r="T18">
        <f>'16'!$I$14</f>
        <v>0</v>
      </c>
      <c r="U18">
        <f>'16'!$AD$14</f>
        <v>0</v>
      </c>
      <c r="V18">
        <f>'16'!$I$15</f>
        <v>0</v>
      </c>
      <c r="W18">
        <f>'16'!$AD$15</f>
        <v>0</v>
      </c>
      <c r="X18">
        <f>'16'!$I$16</f>
        <v>0</v>
      </c>
      <c r="Y18">
        <f>'16'!$AD$16</f>
        <v>0</v>
      </c>
      <c r="Z18">
        <f>'16'!$I$17</f>
        <v>0</v>
      </c>
      <c r="AA18">
        <f>'16'!$AD$17</f>
        <v>0</v>
      </c>
      <c r="AB18">
        <f>'16'!$I$18</f>
        <v>0</v>
      </c>
      <c r="AC18">
        <f>'16'!$AD$18</f>
        <v>0</v>
      </c>
      <c r="AD18">
        <f>'16'!$B$32</f>
        <v>0</v>
      </c>
      <c r="AE18" s="12">
        <f>'16'!$Z$32</f>
        <v>0</v>
      </c>
      <c r="AF18" s="12">
        <f>'16'!$AD$32</f>
        <v>0</v>
      </c>
      <c r="AG18" s="12">
        <f>MonitorProjetos!K216</f>
        <v>0</v>
      </c>
      <c r="AH18" s="12">
        <f>MonitorProjetos!L216</f>
        <v>0</v>
      </c>
      <c r="AI18" s="12">
        <f>MonitorProjetos!M216</f>
        <v>0</v>
      </c>
      <c r="AJ18" s="12">
        <f>MonitorProjetos!$G$216</f>
        <v>0</v>
      </c>
      <c r="AK18" s="12" t="str">
        <f ca="1">MonitorProjetos!$E$216</f>
        <v/>
      </c>
      <c r="AL18" s="12">
        <f>MonitorProjetos!$I$216</f>
        <v>43647</v>
      </c>
      <c r="AM18" s="12" t="str">
        <f ca="1">MonitorProjetos!$J$216</f>
        <v/>
      </c>
      <c r="AN18" s="12" t="str">
        <f>MonitorProjetos!$F$216</f>
        <v>f</v>
      </c>
      <c r="AO18">
        <f>'16'!$B$33</f>
        <v>0</v>
      </c>
      <c r="AP18" s="12">
        <f>'16'!$Z$33</f>
        <v>0</v>
      </c>
      <c r="AQ18" s="12">
        <f>'16'!$AD$33</f>
        <v>0</v>
      </c>
      <c r="AR18" s="12">
        <f>MonitorProjetos!K22</f>
        <v>0</v>
      </c>
      <c r="AS18" s="12">
        <f>MonitorProjetos!L217</f>
        <v>0</v>
      </c>
      <c r="AT18" s="35">
        <f>MonitorProjetos!M217</f>
        <v>0</v>
      </c>
      <c r="AU18" s="35">
        <f>MonitorProjetos!$G$217</f>
        <v>0</v>
      </c>
      <c r="AV18" s="35" t="str">
        <f ca="1">MonitorProjetos!$E$217</f>
        <v/>
      </c>
      <c r="AW18" s="35">
        <f>MonitorProjetos!$I$217</f>
        <v>0</v>
      </c>
      <c r="AX18" s="35" t="str">
        <f ca="1">MonitorProjetos!$J$217</f>
        <v/>
      </c>
      <c r="AY18" s="35">
        <f>MonitorProjetos!$F$217</f>
        <v>0</v>
      </c>
      <c r="AZ18">
        <f>'16'!$B$34</f>
        <v>0</v>
      </c>
      <c r="BA18" s="12">
        <f>'16'!$Z$34</f>
        <v>0</v>
      </c>
      <c r="BB18" s="12">
        <f>'16'!$AD$34</f>
        <v>0</v>
      </c>
      <c r="BC18" s="12">
        <f>MonitorProjetos!K218</f>
        <v>0</v>
      </c>
      <c r="BD18" s="12">
        <f>MonitorProjetos!L218</f>
        <v>0</v>
      </c>
      <c r="BE18" s="12">
        <f>MonitorProjetos!M218</f>
        <v>0</v>
      </c>
      <c r="BF18" s="12">
        <f>MonitorProjetos!$G$218</f>
        <v>0</v>
      </c>
      <c r="BG18" s="12" t="str">
        <f ca="1">MonitorProjetos!$E$218</f>
        <v/>
      </c>
      <c r="BH18" s="12">
        <f>MonitorProjetos!$I$218</f>
        <v>0</v>
      </c>
      <c r="BI18" s="12" t="str">
        <f ca="1">MonitorProjetos!$J$218</f>
        <v/>
      </c>
      <c r="BJ18" s="12">
        <f>MonitorProjetos!$F$218</f>
        <v>0</v>
      </c>
      <c r="BK18">
        <f>'16'!$B$35</f>
        <v>0</v>
      </c>
      <c r="BL18" s="12">
        <f>'16'!$Z$35</f>
        <v>0</v>
      </c>
      <c r="BM18" s="12">
        <f>'16'!$AD$35</f>
        <v>0</v>
      </c>
      <c r="BN18" s="12">
        <f>MonitorProjetos!K219</f>
        <v>0</v>
      </c>
      <c r="BO18" s="12">
        <f>MonitorProjetos!L219</f>
        <v>0</v>
      </c>
      <c r="BP18" s="12">
        <f>MonitorProjetos!M219</f>
        <v>0</v>
      </c>
      <c r="BQ18" s="12">
        <f>MonitorProjetos!$G$219</f>
        <v>0</v>
      </c>
      <c r="BR18" s="12" t="str">
        <f ca="1">MonitorProjetos!$E$219</f>
        <v/>
      </c>
      <c r="BS18" s="12">
        <f>MonitorProjetos!$I$219</f>
        <v>0</v>
      </c>
      <c r="BT18" s="12" t="str">
        <f ca="1">MonitorProjetos!$J$219</f>
        <v/>
      </c>
      <c r="BU18" s="12">
        <f>MonitorProjetos!$F$219</f>
        <v>0</v>
      </c>
      <c r="BV18">
        <f>'16'!$B$36</f>
        <v>0</v>
      </c>
      <c r="BW18" s="12">
        <f>'16'!$Z$36</f>
        <v>0</v>
      </c>
      <c r="BX18" s="12">
        <f>'16'!$AD$36</f>
        <v>0</v>
      </c>
      <c r="BY18" s="12">
        <f>MonitorProjetos!K220</f>
        <v>0</v>
      </c>
      <c r="BZ18" s="12">
        <f>MonitorProjetos!L220</f>
        <v>0</v>
      </c>
      <c r="CA18" s="12">
        <f>MonitorProjetos!M220</f>
        <v>0</v>
      </c>
      <c r="CB18" s="12">
        <f>MonitorProjetos!$G$220</f>
        <v>0</v>
      </c>
      <c r="CC18" s="12" t="str">
        <f ca="1">MonitorProjetos!$E$220</f>
        <v/>
      </c>
      <c r="CD18" s="12">
        <f>MonitorProjetos!$I$220</f>
        <v>0</v>
      </c>
      <c r="CE18" s="12" t="str">
        <f ca="1">MonitorProjetos!$J$220</f>
        <v/>
      </c>
      <c r="CF18" s="12">
        <f>MonitorProjetos!$F$220</f>
        <v>0</v>
      </c>
      <c r="CG18">
        <f>'16'!$B$37</f>
        <v>0</v>
      </c>
      <c r="CH18" s="12">
        <f>'16'!$Z$37</f>
        <v>0</v>
      </c>
      <c r="CI18" s="12">
        <f>'16'!$AD$37</f>
        <v>0</v>
      </c>
      <c r="CJ18" s="12">
        <f>MonitorProjetos!K221</f>
        <v>0</v>
      </c>
      <c r="CK18" s="12">
        <f>MonitorProjetos!L221</f>
        <v>0</v>
      </c>
      <c r="CL18" s="12">
        <f>MonitorProjetos!M221</f>
        <v>0</v>
      </c>
      <c r="CM18" s="12">
        <f>MonitorProjetos!$G$221</f>
        <v>0</v>
      </c>
      <c r="CN18" s="12" t="str">
        <f ca="1">MonitorProjetos!$E$221</f>
        <v/>
      </c>
      <c r="CO18" s="12">
        <f>MonitorProjetos!$I$221</f>
        <v>0</v>
      </c>
      <c r="CP18" s="12" t="str">
        <f ca="1">MonitorProjetos!$J$221</f>
        <v/>
      </c>
      <c r="CQ18" s="12">
        <f>MonitorProjetos!$F$221</f>
        <v>0</v>
      </c>
      <c r="CR18">
        <f>'16'!$B$38</f>
        <v>0</v>
      </c>
      <c r="CS18" s="12">
        <f>'16'!$Z$38</f>
        <v>0</v>
      </c>
      <c r="CT18" s="12">
        <f>'16'!$AD$38</f>
        <v>0</v>
      </c>
      <c r="CU18" s="12">
        <f>MonitorProjetos!K222</f>
        <v>0</v>
      </c>
      <c r="CV18" s="12">
        <f>MonitorProjetos!L222</f>
        <v>0</v>
      </c>
      <c r="CW18" s="12">
        <f>MonitorProjetos!M222</f>
        <v>0</v>
      </c>
      <c r="CX18" s="12">
        <f>MonitorProjetos!$G$222</f>
        <v>0</v>
      </c>
      <c r="CY18" s="12" t="str">
        <f ca="1">MonitorProjetos!$E$222</f>
        <v/>
      </c>
      <c r="CZ18" s="12">
        <f>MonitorProjetos!$I$222</f>
        <v>0</v>
      </c>
      <c r="DA18" s="12" t="str">
        <f ca="1">MonitorProjetos!$J$222</f>
        <v/>
      </c>
      <c r="DB18" s="12">
        <f>MonitorProjetos!$F$222</f>
        <v>0</v>
      </c>
      <c r="DC18">
        <f>'16'!$B$39</f>
        <v>0</v>
      </c>
      <c r="DD18" s="12">
        <f>'16'!$Z$39</f>
        <v>0</v>
      </c>
      <c r="DE18" s="12">
        <f>'16'!$AD$39</f>
        <v>0</v>
      </c>
      <c r="DF18" s="12">
        <f>MonitorProjetos!K223</f>
        <v>0</v>
      </c>
      <c r="DG18" s="12">
        <f>MonitorProjetos!L223</f>
        <v>0</v>
      </c>
      <c r="DH18" s="12">
        <f>MonitorProjetos!M223</f>
        <v>0</v>
      </c>
      <c r="DI18" s="12">
        <f>MonitorProjetos!$G$223</f>
        <v>0</v>
      </c>
      <c r="DJ18" s="12" t="str">
        <f ca="1">MonitorProjetos!$E$223</f>
        <v/>
      </c>
      <c r="DK18" s="12">
        <f>MonitorProjetos!$I$223</f>
        <v>0</v>
      </c>
      <c r="DL18" s="12" t="str">
        <f ca="1">MonitorProjetos!$J$223</f>
        <v/>
      </c>
      <c r="DM18" s="12">
        <f>MonitorProjetos!$F$223</f>
        <v>0</v>
      </c>
      <c r="DN18">
        <f>'16'!$B$40</f>
        <v>0</v>
      </c>
      <c r="DO18" s="12">
        <f>'16'!$Z$40</f>
        <v>0</v>
      </c>
      <c r="DP18" s="12">
        <f>'16'!$AD$40</f>
        <v>0</v>
      </c>
      <c r="DQ18" s="12">
        <f>MonitorProjetos!K224</f>
        <v>0</v>
      </c>
      <c r="DR18" s="12">
        <f>MonitorProjetos!L224</f>
        <v>0</v>
      </c>
      <c r="DS18" s="12">
        <f>MonitorProjetos!M224</f>
        <v>0</v>
      </c>
      <c r="DT18" s="12">
        <f>MonitorProjetos!$G$224</f>
        <v>0</v>
      </c>
      <c r="DU18" s="12" t="str">
        <f ca="1">MonitorProjetos!$E$224</f>
        <v/>
      </c>
      <c r="DV18" s="12">
        <f>MonitorProjetos!$I$224</f>
        <v>0</v>
      </c>
      <c r="DW18" s="12" t="str">
        <f ca="1">MonitorProjetos!$J$224</f>
        <v/>
      </c>
      <c r="DX18" s="12">
        <f>MonitorProjetos!$F$224</f>
        <v>0</v>
      </c>
      <c r="DY18">
        <f>'16'!$B$41</f>
        <v>0</v>
      </c>
      <c r="DZ18" s="12">
        <f>'16'!$Z$41</f>
        <v>0</v>
      </c>
      <c r="EA18" s="12">
        <f>'16'!$AD$41</f>
        <v>0</v>
      </c>
      <c r="EB18" s="12">
        <f>MonitorProjetos!K225</f>
        <v>0</v>
      </c>
      <c r="EC18" s="12">
        <f>MonitorProjetos!L225</f>
        <v>0</v>
      </c>
      <c r="ED18" s="12">
        <f>MonitorProjetos!M225</f>
        <v>0</v>
      </c>
      <c r="EE18" s="12">
        <f>MonitorProjetos!$G$225</f>
        <v>0</v>
      </c>
      <c r="EF18" s="12" t="str">
        <f ca="1">MonitorProjetos!$E$225</f>
        <v/>
      </c>
      <c r="EG18" s="12">
        <f>MonitorProjetos!$I$225</f>
        <v>0</v>
      </c>
      <c r="EH18" s="12" t="str">
        <f ca="1">MonitorProjetos!$J$225</f>
        <v/>
      </c>
      <c r="EI18" s="12">
        <f>MonitorProjetos!$F$225</f>
        <v>0</v>
      </c>
    </row>
    <row r="19" spans="1:139" hidden="1" x14ac:dyDescent="0.25">
      <c r="A19" s="52">
        <f t="shared" si="1"/>
        <v>17</v>
      </c>
      <c r="B19">
        <f>'17'!$H$8</f>
        <v>0</v>
      </c>
      <c r="C19">
        <f>'17'!$R$8</f>
        <v>0</v>
      </c>
      <c r="D19">
        <f>'17'!$Z$8</f>
        <v>0</v>
      </c>
      <c r="E19" t="str">
        <f>'17'!$H$6</f>
        <v>&lt;Nome curto / apelido / código do projeto &gt;</v>
      </c>
      <c r="F19" t="str">
        <f>'17'!$H$7</f>
        <v>&lt;indicar iniciativas do PO que o projeto contribui &gt;</v>
      </c>
      <c r="G19">
        <f>'17'!$M$7</f>
        <v>0</v>
      </c>
      <c r="H19">
        <f>'17'!$R$7</f>
        <v>0</v>
      </c>
      <c r="I19">
        <f>'17'!$X$7</f>
        <v>0</v>
      </c>
      <c r="J19">
        <f>'17'!$AD$7</f>
        <v>0</v>
      </c>
      <c r="K19" t="str">
        <f>'17'!$H$10</f>
        <v>&lt; servidor com a responsabilidade de planejar e controlar a execução do projeto &gt;</v>
      </c>
      <c r="L19" t="str">
        <f>'17'!$H$6</f>
        <v>&lt;Nome curto / apelido / código do projeto &gt;</v>
      </c>
      <c r="M19">
        <f t="shared" si="0"/>
        <v>17</v>
      </c>
      <c r="N19" s="12">
        <f>'17'!$H$11</f>
        <v>0</v>
      </c>
      <c r="O19" s="13">
        <f>'17'!$AB$11</f>
        <v>0</v>
      </c>
      <c r="P19" t="str">
        <f>'17'!$I$12</f>
        <v>Fulano da Silva</v>
      </c>
      <c r="Q19">
        <f>'17'!$AD$12</f>
        <v>12345</v>
      </c>
      <c r="R19">
        <f>'17'!$I$13</f>
        <v>0</v>
      </c>
      <c r="S19">
        <f>'17'!$AD$13</f>
        <v>0</v>
      </c>
      <c r="T19">
        <f>'17'!$I$14</f>
        <v>0</v>
      </c>
      <c r="U19">
        <f>'17'!$AD$14</f>
        <v>0</v>
      </c>
      <c r="V19">
        <f>'17'!$I$15</f>
        <v>0</v>
      </c>
      <c r="W19">
        <f>'17'!$AD$15</f>
        <v>0</v>
      </c>
      <c r="X19">
        <f>'17'!$I$16</f>
        <v>0</v>
      </c>
      <c r="Y19">
        <f>'17'!$AD$16</f>
        <v>0</v>
      </c>
      <c r="Z19">
        <f>'17'!$I$17</f>
        <v>0</v>
      </c>
      <c r="AA19">
        <f>'17'!$AD$17</f>
        <v>0</v>
      </c>
      <c r="AB19">
        <f>'17'!$I$18</f>
        <v>0</v>
      </c>
      <c r="AC19">
        <f>'17'!$AD$18</f>
        <v>0</v>
      </c>
      <c r="AD19">
        <f>'17'!$B$32</f>
        <v>0</v>
      </c>
      <c r="AE19" s="12">
        <f>'17'!$Z$32</f>
        <v>0</v>
      </c>
      <c r="AF19" s="12">
        <f>'17'!$AD$32</f>
        <v>0</v>
      </c>
      <c r="AG19" s="12">
        <f>MonitorProjetos!K230</f>
        <v>0</v>
      </c>
      <c r="AH19" s="12">
        <f>MonitorProjetos!L230</f>
        <v>43497</v>
      </c>
      <c r="AI19" s="12">
        <f>MonitorProjetos!M230</f>
        <v>0</v>
      </c>
      <c r="AJ19" s="12">
        <f>MonitorProjetos!$G$230</f>
        <v>0</v>
      </c>
      <c r="AK19" s="12" t="str">
        <f>MonitorProjetos!$E$230</f>
        <v>Concluída</v>
      </c>
      <c r="AL19" s="12">
        <f>MonitorProjetos!$I$230</f>
        <v>43647</v>
      </c>
      <c r="AM19" s="12">
        <f>MonitorProjetos!$J$230</f>
        <v>43647</v>
      </c>
      <c r="AN19" s="12" t="str">
        <f>MonitorProjetos!$F$230</f>
        <v>f</v>
      </c>
      <c r="AO19">
        <f>'17'!$B$33</f>
        <v>0</v>
      </c>
      <c r="AP19" s="12">
        <f>'17'!$Z$33</f>
        <v>0</v>
      </c>
      <c r="AQ19" s="12">
        <f>'17'!$AD$33</f>
        <v>0</v>
      </c>
      <c r="AR19" s="12">
        <f>MonitorProjetos!K23</f>
        <v>0</v>
      </c>
      <c r="AS19" s="12">
        <f>MonitorProjetos!L231</f>
        <v>0</v>
      </c>
      <c r="AT19" s="35">
        <f>MonitorProjetos!M231</f>
        <v>0</v>
      </c>
      <c r="AU19" s="35">
        <f>MonitorProjetos!$G$231</f>
        <v>0</v>
      </c>
      <c r="AV19" s="35" t="str">
        <f ca="1">MonitorProjetos!$E$231</f>
        <v/>
      </c>
      <c r="AW19" s="35">
        <f>MonitorProjetos!$I$231</f>
        <v>0</v>
      </c>
      <c r="AX19" s="35" t="str">
        <f ca="1">MonitorProjetos!$J$231</f>
        <v/>
      </c>
      <c r="AY19" s="35">
        <f>MonitorProjetos!$F$231</f>
        <v>0</v>
      </c>
      <c r="AZ19">
        <f>'17'!$B$34</f>
        <v>0</v>
      </c>
      <c r="BA19" s="12">
        <f>'17'!$Z$34</f>
        <v>0</v>
      </c>
      <c r="BB19" s="12">
        <f>'17'!$AD$34</f>
        <v>0</v>
      </c>
      <c r="BC19" s="12">
        <f>MonitorProjetos!K232</f>
        <v>0</v>
      </c>
      <c r="BD19" s="12">
        <f>MonitorProjetos!L232</f>
        <v>0</v>
      </c>
      <c r="BE19" s="12">
        <f>MonitorProjetos!M232</f>
        <v>0</v>
      </c>
      <c r="BF19" s="12">
        <f>MonitorProjetos!$G$232</f>
        <v>0</v>
      </c>
      <c r="BG19" s="12" t="str">
        <f ca="1">MonitorProjetos!$E$232</f>
        <v/>
      </c>
      <c r="BH19" s="12">
        <f>MonitorProjetos!$I$232</f>
        <v>0</v>
      </c>
      <c r="BI19" s="12" t="str">
        <f ca="1">MonitorProjetos!$J$232</f>
        <v/>
      </c>
      <c r="BJ19" s="12">
        <f>MonitorProjetos!$F$232</f>
        <v>0</v>
      </c>
      <c r="BK19">
        <f>'17'!$B$35</f>
        <v>0</v>
      </c>
      <c r="BL19" s="12">
        <f>'17'!$Z$35</f>
        <v>0</v>
      </c>
      <c r="BM19" s="12">
        <f>'17'!$AD$35</f>
        <v>0</v>
      </c>
      <c r="BN19" s="12">
        <f>MonitorProjetos!K233</f>
        <v>0</v>
      </c>
      <c r="BO19" s="12">
        <f>MonitorProjetos!L233</f>
        <v>0</v>
      </c>
      <c r="BP19" s="12">
        <f>MonitorProjetos!M233</f>
        <v>0</v>
      </c>
      <c r="BQ19" s="12">
        <f>MonitorProjetos!$G$233</f>
        <v>0</v>
      </c>
      <c r="BR19" s="12" t="str">
        <f ca="1">MonitorProjetos!$E$233</f>
        <v/>
      </c>
      <c r="BS19" s="12">
        <f>MonitorProjetos!$I$233</f>
        <v>0</v>
      </c>
      <c r="BT19" s="12" t="str">
        <f ca="1">MonitorProjetos!$J$233</f>
        <v/>
      </c>
      <c r="BU19" s="12">
        <f>MonitorProjetos!$F$233</f>
        <v>0</v>
      </c>
      <c r="BV19">
        <f>'17'!$B$36</f>
        <v>0</v>
      </c>
      <c r="BW19" s="12">
        <f>'17'!$Z$36</f>
        <v>0</v>
      </c>
      <c r="BX19" s="12">
        <f>'17'!$AD$36</f>
        <v>0</v>
      </c>
      <c r="BY19" s="12">
        <f>MonitorProjetos!K234</f>
        <v>0</v>
      </c>
      <c r="BZ19" s="12">
        <f>MonitorProjetos!L234</f>
        <v>0</v>
      </c>
      <c r="CA19" s="12">
        <f>MonitorProjetos!M234</f>
        <v>0</v>
      </c>
      <c r="CB19" s="12">
        <f>MonitorProjetos!$G$234</f>
        <v>0</v>
      </c>
      <c r="CC19" s="12" t="str">
        <f ca="1">MonitorProjetos!$E$234</f>
        <v/>
      </c>
      <c r="CD19" s="12">
        <f>MonitorProjetos!$I$234</f>
        <v>0</v>
      </c>
      <c r="CE19" s="12" t="str">
        <f ca="1">MonitorProjetos!$J$234</f>
        <v/>
      </c>
      <c r="CF19" s="12">
        <f>MonitorProjetos!$F$234</f>
        <v>0</v>
      </c>
      <c r="CG19">
        <f>'17'!$B$37</f>
        <v>0</v>
      </c>
      <c r="CH19" s="12">
        <f>'17'!$Z$37</f>
        <v>0</v>
      </c>
      <c r="CI19" s="12">
        <f>'17'!$AD$37</f>
        <v>0</v>
      </c>
      <c r="CJ19" s="12">
        <f>MonitorProjetos!K235</f>
        <v>0</v>
      </c>
      <c r="CK19" s="12">
        <f>MonitorProjetos!L235</f>
        <v>0</v>
      </c>
      <c r="CL19" s="12">
        <f>MonitorProjetos!M235</f>
        <v>0</v>
      </c>
      <c r="CM19" s="12">
        <f>MonitorProjetos!$G$235</f>
        <v>0</v>
      </c>
      <c r="CN19" s="12" t="str">
        <f ca="1">MonitorProjetos!$E$235</f>
        <v/>
      </c>
      <c r="CO19" s="12">
        <f>MonitorProjetos!$I$235</f>
        <v>0</v>
      </c>
      <c r="CP19" s="12" t="str">
        <f ca="1">MonitorProjetos!$J$235</f>
        <v/>
      </c>
      <c r="CQ19" s="12">
        <f>MonitorProjetos!$F$235</f>
        <v>0</v>
      </c>
      <c r="CR19">
        <f>'17'!$B$38</f>
        <v>0</v>
      </c>
      <c r="CS19" s="12">
        <f>'17'!$Z$38</f>
        <v>0</v>
      </c>
      <c r="CT19" s="12">
        <f>'17'!$AD$38</f>
        <v>0</v>
      </c>
      <c r="CU19" s="12">
        <f>MonitorProjetos!K236</f>
        <v>0</v>
      </c>
      <c r="CV19" s="12">
        <f>MonitorProjetos!L236</f>
        <v>0</v>
      </c>
      <c r="CW19" s="12">
        <f>MonitorProjetos!M236</f>
        <v>0</v>
      </c>
      <c r="CX19" s="12">
        <f>MonitorProjetos!$G$236</f>
        <v>0</v>
      </c>
      <c r="CY19" s="12" t="str">
        <f ca="1">MonitorProjetos!$E$236</f>
        <v/>
      </c>
      <c r="CZ19" s="12">
        <f>MonitorProjetos!$I$236</f>
        <v>0</v>
      </c>
      <c r="DA19" s="12" t="str">
        <f ca="1">MonitorProjetos!$J$236</f>
        <v/>
      </c>
      <c r="DB19" s="12">
        <f>MonitorProjetos!$F$236</f>
        <v>0</v>
      </c>
      <c r="DC19">
        <f>'17'!$B$39</f>
        <v>0</v>
      </c>
      <c r="DD19" s="12">
        <f>'17'!$Z$39</f>
        <v>0</v>
      </c>
      <c r="DE19" s="12">
        <f>'17'!$AD$39</f>
        <v>0</v>
      </c>
      <c r="DF19" s="12">
        <f>MonitorProjetos!K237</f>
        <v>0</v>
      </c>
      <c r="DG19" s="12">
        <f>MonitorProjetos!L237</f>
        <v>0</v>
      </c>
      <c r="DH19" s="12">
        <f>MonitorProjetos!M237</f>
        <v>0</v>
      </c>
      <c r="DI19" s="12">
        <f>MonitorProjetos!$G$237</f>
        <v>0</v>
      </c>
      <c r="DJ19" s="12" t="str">
        <f ca="1">MonitorProjetos!$E$237</f>
        <v/>
      </c>
      <c r="DK19" s="12">
        <f>MonitorProjetos!$I$237</f>
        <v>0</v>
      </c>
      <c r="DL19" s="12" t="str">
        <f ca="1">MonitorProjetos!$J$237</f>
        <v/>
      </c>
      <c r="DM19" s="12">
        <f>MonitorProjetos!$F$237</f>
        <v>0</v>
      </c>
      <c r="DN19">
        <f>'17'!$B$40</f>
        <v>0</v>
      </c>
      <c r="DO19" s="12">
        <f>'17'!$Z$40</f>
        <v>0</v>
      </c>
      <c r="DP19" s="12">
        <f>'17'!$AD$40</f>
        <v>0</v>
      </c>
      <c r="DQ19" s="12">
        <f>MonitorProjetos!K238</f>
        <v>0</v>
      </c>
      <c r="DR19" s="12">
        <f>MonitorProjetos!L238</f>
        <v>0</v>
      </c>
      <c r="DS19" s="12">
        <f>MonitorProjetos!M238</f>
        <v>0</v>
      </c>
      <c r="DT19" s="12">
        <f>MonitorProjetos!$G$238</f>
        <v>0</v>
      </c>
      <c r="DU19" s="12" t="str">
        <f ca="1">MonitorProjetos!$E$238</f>
        <v/>
      </c>
      <c r="DV19" s="12">
        <f>MonitorProjetos!$I$238</f>
        <v>0</v>
      </c>
      <c r="DW19" s="12" t="str">
        <f ca="1">MonitorProjetos!$J$238</f>
        <v/>
      </c>
      <c r="DX19" s="12">
        <f>MonitorProjetos!$F$238</f>
        <v>0</v>
      </c>
      <c r="DY19">
        <f>'17'!$B$41</f>
        <v>0</v>
      </c>
      <c r="DZ19" s="12">
        <f>'17'!$Z$41</f>
        <v>0</v>
      </c>
      <c r="EA19" s="12">
        <f>'17'!$AD$41</f>
        <v>0</v>
      </c>
      <c r="EB19" s="12">
        <f>MonitorProjetos!K239</f>
        <v>0</v>
      </c>
      <c r="EC19" s="12">
        <f>MonitorProjetos!L239</f>
        <v>0</v>
      </c>
      <c r="ED19" s="12">
        <f>MonitorProjetos!M239</f>
        <v>0</v>
      </c>
      <c r="EE19" s="12">
        <f>MonitorProjetos!$G$239</f>
        <v>0</v>
      </c>
      <c r="EF19" s="12" t="str">
        <f ca="1">MonitorProjetos!$E$239</f>
        <v/>
      </c>
      <c r="EG19" s="12">
        <f>MonitorProjetos!$I$239</f>
        <v>0</v>
      </c>
      <c r="EH19" s="12" t="str">
        <f ca="1">MonitorProjetos!$J$239</f>
        <v/>
      </c>
      <c r="EI19" s="12">
        <f>MonitorProjetos!$F$239</f>
        <v>0</v>
      </c>
    </row>
    <row r="20" spans="1:139" hidden="1" x14ac:dyDescent="0.25">
      <c r="A20" s="52">
        <f t="shared" si="1"/>
        <v>18</v>
      </c>
      <c r="B20">
        <f>'18'!$H$8</f>
        <v>0</v>
      </c>
      <c r="C20">
        <f>'18'!$R$8</f>
        <v>0</v>
      </c>
      <c r="D20">
        <f>'18'!$Z$8</f>
        <v>0</v>
      </c>
      <c r="E20" t="str">
        <f>'18'!$H$6</f>
        <v>&lt;Nome curto / apelido / código do projeto &gt;</v>
      </c>
      <c r="F20" t="str">
        <f>'18'!$H$7</f>
        <v>&lt;indicar iniciativas do PO que o projeto contribui &gt;</v>
      </c>
      <c r="G20">
        <f>'18'!$M$7</f>
        <v>0</v>
      </c>
      <c r="H20">
        <f>'18'!$R$7</f>
        <v>0</v>
      </c>
      <c r="I20">
        <f>'18'!$X$7</f>
        <v>0</v>
      </c>
      <c r="J20">
        <f>'18'!$AD$7</f>
        <v>0</v>
      </c>
      <c r="K20" t="str">
        <f>'18'!$H$10</f>
        <v>&lt; servidor com a responsabilidade de planejar e controlar a execução do projeto &gt;</v>
      </c>
      <c r="L20" t="str">
        <f>'18'!$H$6</f>
        <v>&lt;Nome curto / apelido / código do projeto &gt;</v>
      </c>
      <c r="M20">
        <f t="shared" si="0"/>
        <v>18</v>
      </c>
      <c r="N20" s="12">
        <f>'18'!$H$11</f>
        <v>0</v>
      </c>
      <c r="O20" s="13">
        <f>'18'!$AB$11</f>
        <v>0</v>
      </c>
      <c r="P20" t="str">
        <f>'18'!$I$12</f>
        <v>Fulano da Silva</v>
      </c>
      <c r="Q20">
        <f>'18'!$AD$12</f>
        <v>12345</v>
      </c>
      <c r="R20">
        <f>'18'!$I$13</f>
        <v>0</v>
      </c>
      <c r="S20">
        <f>'18'!$AD$13</f>
        <v>0</v>
      </c>
      <c r="T20">
        <f>'18'!$I$14</f>
        <v>0</v>
      </c>
      <c r="U20">
        <f>'18'!$AD$14</f>
        <v>0</v>
      </c>
      <c r="V20">
        <f>'18'!$I$15</f>
        <v>0</v>
      </c>
      <c r="W20">
        <f>'18'!$AD$15</f>
        <v>0</v>
      </c>
      <c r="X20">
        <f>'18'!$I$16</f>
        <v>0</v>
      </c>
      <c r="Y20">
        <f>'18'!$AD$16</f>
        <v>0</v>
      </c>
      <c r="Z20">
        <f>'18'!$I$17</f>
        <v>0</v>
      </c>
      <c r="AA20">
        <f>'18'!$AD$17</f>
        <v>0</v>
      </c>
      <c r="AB20">
        <f>'18'!$I$18</f>
        <v>0</v>
      </c>
      <c r="AC20">
        <f>'18'!$AD$18</f>
        <v>0</v>
      </c>
      <c r="AD20">
        <f>'18'!$B$32</f>
        <v>0</v>
      </c>
      <c r="AE20" s="12">
        <f>'18'!$Z$32</f>
        <v>0</v>
      </c>
      <c r="AF20" s="12">
        <f>'18'!$AD$32</f>
        <v>0</v>
      </c>
      <c r="AG20" s="12">
        <f>MonitorProjetos!K244</f>
        <v>0</v>
      </c>
      <c r="AH20" s="12">
        <f>MonitorProjetos!L244</f>
        <v>43559</v>
      </c>
      <c r="AI20" s="12">
        <f>MonitorProjetos!M244</f>
        <v>0</v>
      </c>
      <c r="AJ20" s="12">
        <f>MonitorProjetos!$G$244</f>
        <v>0</v>
      </c>
      <c r="AK20" s="12" t="str">
        <f>MonitorProjetos!$E$244</f>
        <v>Concluída</v>
      </c>
      <c r="AL20" s="12">
        <f>MonitorProjetos!$I$244</f>
        <v>43647</v>
      </c>
      <c r="AM20" s="12">
        <f>MonitorProjetos!$J$244</f>
        <v>43647</v>
      </c>
      <c r="AN20" s="12" t="str">
        <f>MonitorProjetos!$F$244</f>
        <v>f</v>
      </c>
      <c r="AO20">
        <f>'18'!$B$33</f>
        <v>0</v>
      </c>
      <c r="AP20" s="12">
        <f>'18'!$Z$33</f>
        <v>0</v>
      </c>
      <c r="AQ20" s="12">
        <f>'18'!$AD$33</f>
        <v>0</v>
      </c>
      <c r="AR20" s="12">
        <f>MonitorProjetos!K24</f>
        <v>0</v>
      </c>
      <c r="AS20" s="12">
        <f>MonitorProjetos!L245</f>
        <v>0</v>
      </c>
      <c r="AT20" s="35">
        <f>MonitorProjetos!M245</f>
        <v>0</v>
      </c>
      <c r="AU20" s="35">
        <f>MonitorProjetos!$G$245</f>
        <v>0</v>
      </c>
      <c r="AV20" s="35" t="str">
        <f ca="1">MonitorProjetos!$E$245</f>
        <v/>
      </c>
      <c r="AW20" s="35">
        <f>MonitorProjetos!$I$245</f>
        <v>0</v>
      </c>
      <c r="AX20" s="35" t="str">
        <f ca="1">MonitorProjetos!$J$245</f>
        <v/>
      </c>
      <c r="AY20" s="35">
        <f>MonitorProjetos!$F$245</f>
        <v>0</v>
      </c>
      <c r="AZ20">
        <f>'18'!$B$34</f>
        <v>0</v>
      </c>
      <c r="BA20" s="12">
        <f>'18'!$Z$34</f>
        <v>0</v>
      </c>
      <c r="BB20" s="12">
        <f>'18'!$AD$34</f>
        <v>0</v>
      </c>
      <c r="BC20" s="12">
        <f>MonitorProjetos!K246</f>
        <v>0</v>
      </c>
      <c r="BD20" s="12">
        <f>MonitorProjetos!L246</f>
        <v>0</v>
      </c>
      <c r="BE20" s="12">
        <f>MonitorProjetos!M246</f>
        <v>0</v>
      </c>
      <c r="BF20" s="12">
        <f>MonitorProjetos!$G$246</f>
        <v>0</v>
      </c>
      <c r="BG20" s="12" t="str">
        <f ca="1">MonitorProjetos!$E$246</f>
        <v/>
      </c>
      <c r="BH20" s="12">
        <f>MonitorProjetos!$I$246</f>
        <v>0</v>
      </c>
      <c r="BI20" s="12" t="str">
        <f ca="1">MonitorProjetos!$J$246</f>
        <v/>
      </c>
      <c r="BJ20" s="12">
        <f>MonitorProjetos!$F$246</f>
        <v>0</v>
      </c>
      <c r="BK20">
        <f>'18'!$B$35</f>
        <v>0</v>
      </c>
      <c r="BL20" s="12">
        <f>'18'!$Z$35</f>
        <v>0</v>
      </c>
      <c r="BM20" s="12">
        <f>'18'!$AD$35</f>
        <v>0</v>
      </c>
      <c r="BN20" s="12">
        <f>MonitorProjetos!K247</f>
        <v>0</v>
      </c>
      <c r="BO20" s="12">
        <f>MonitorProjetos!L247</f>
        <v>0</v>
      </c>
      <c r="BP20" s="12">
        <f>MonitorProjetos!M247</f>
        <v>0</v>
      </c>
      <c r="BQ20" s="12">
        <f>MonitorProjetos!$G$247</f>
        <v>0</v>
      </c>
      <c r="BR20" s="12" t="str">
        <f ca="1">MonitorProjetos!$E$247</f>
        <v/>
      </c>
      <c r="BS20" s="12">
        <f>MonitorProjetos!$I$247</f>
        <v>0</v>
      </c>
      <c r="BT20" s="12" t="str">
        <f ca="1">MonitorProjetos!$J$247</f>
        <v/>
      </c>
      <c r="BU20" s="12">
        <f>MonitorProjetos!$F$247</f>
        <v>0</v>
      </c>
      <c r="BV20">
        <f>'18'!$B$36</f>
        <v>0</v>
      </c>
      <c r="BW20" s="12">
        <f>'18'!$Z$36</f>
        <v>0</v>
      </c>
      <c r="BX20" s="12">
        <f>'18'!$AD$36</f>
        <v>0</v>
      </c>
      <c r="BY20" s="12">
        <f>MonitorProjetos!K248</f>
        <v>0</v>
      </c>
      <c r="BZ20" s="12">
        <f>MonitorProjetos!L248</f>
        <v>0</v>
      </c>
      <c r="CA20" s="12">
        <f>MonitorProjetos!M248</f>
        <v>0</v>
      </c>
      <c r="CB20" s="12">
        <f>MonitorProjetos!$G$248</f>
        <v>0</v>
      </c>
      <c r="CC20" s="12" t="str">
        <f ca="1">MonitorProjetos!$E$248</f>
        <v/>
      </c>
      <c r="CD20" s="12">
        <f>MonitorProjetos!$I$248</f>
        <v>0</v>
      </c>
      <c r="CE20" s="12" t="str">
        <f ca="1">MonitorProjetos!$J$248</f>
        <v/>
      </c>
      <c r="CF20" s="12">
        <f>MonitorProjetos!$F$248</f>
        <v>0</v>
      </c>
      <c r="CG20">
        <f>'18'!$B$37</f>
        <v>0</v>
      </c>
      <c r="CH20" s="12">
        <f>'18'!$Z$37</f>
        <v>0</v>
      </c>
      <c r="CI20" s="12">
        <f>'18'!$AD$37</f>
        <v>0</v>
      </c>
      <c r="CJ20" s="12">
        <f>MonitorProjetos!K249</f>
        <v>0</v>
      </c>
      <c r="CK20" s="12">
        <f>MonitorProjetos!L249</f>
        <v>0</v>
      </c>
      <c r="CL20" s="12">
        <f>MonitorProjetos!M249</f>
        <v>0</v>
      </c>
      <c r="CM20" s="12">
        <f>MonitorProjetos!$G$249</f>
        <v>0</v>
      </c>
      <c r="CN20" s="12" t="str">
        <f ca="1">MonitorProjetos!$E$249</f>
        <v/>
      </c>
      <c r="CO20" s="12">
        <f>MonitorProjetos!$I$249</f>
        <v>0</v>
      </c>
      <c r="CP20" s="12" t="str">
        <f ca="1">MonitorProjetos!$J$249</f>
        <v/>
      </c>
      <c r="CQ20" s="12">
        <f>MonitorProjetos!$F$249</f>
        <v>0</v>
      </c>
      <c r="CR20">
        <f>'18'!$B$38</f>
        <v>0</v>
      </c>
      <c r="CS20" s="12">
        <f>'18'!$Z$38</f>
        <v>0</v>
      </c>
      <c r="CT20" s="12">
        <f>'18'!$AD$38</f>
        <v>0</v>
      </c>
      <c r="CU20" s="12">
        <f>MonitorProjetos!K250</f>
        <v>0</v>
      </c>
      <c r="CV20" s="12">
        <f>MonitorProjetos!L250</f>
        <v>0</v>
      </c>
      <c r="CW20" s="12">
        <f>MonitorProjetos!M250</f>
        <v>0</v>
      </c>
      <c r="CX20" s="12">
        <f>MonitorProjetos!$G$250</f>
        <v>0</v>
      </c>
      <c r="CY20" s="12" t="str">
        <f ca="1">MonitorProjetos!$E$250</f>
        <v/>
      </c>
      <c r="CZ20" s="12">
        <f>MonitorProjetos!$I$250</f>
        <v>0</v>
      </c>
      <c r="DA20" s="12" t="str">
        <f ca="1">MonitorProjetos!$J$250</f>
        <v/>
      </c>
      <c r="DB20" s="12">
        <f>MonitorProjetos!$F$250</f>
        <v>0</v>
      </c>
      <c r="DC20">
        <f>'18'!$B$39</f>
        <v>0</v>
      </c>
      <c r="DD20" s="12">
        <f>'18'!$Z$39</f>
        <v>0</v>
      </c>
      <c r="DE20" s="12">
        <f>'18'!$AD$39</f>
        <v>0</v>
      </c>
      <c r="DF20" s="12">
        <f>MonitorProjetos!K251</f>
        <v>0</v>
      </c>
      <c r="DG20" s="12">
        <f>MonitorProjetos!L251</f>
        <v>0</v>
      </c>
      <c r="DH20" s="12">
        <f>MonitorProjetos!M251</f>
        <v>0</v>
      </c>
      <c r="DI20" s="12">
        <f>MonitorProjetos!$G$251</f>
        <v>0</v>
      </c>
      <c r="DJ20" s="12" t="str">
        <f ca="1">MonitorProjetos!$E$251</f>
        <v/>
      </c>
      <c r="DK20" s="12">
        <f>MonitorProjetos!$I$251</f>
        <v>0</v>
      </c>
      <c r="DL20" s="12" t="str">
        <f ca="1">MonitorProjetos!$J$251</f>
        <v/>
      </c>
      <c r="DM20" s="12">
        <f>MonitorProjetos!$F$251</f>
        <v>0</v>
      </c>
      <c r="DN20">
        <f>'18'!$B$40</f>
        <v>0</v>
      </c>
      <c r="DO20" s="12">
        <f>'18'!$Z$40</f>
        <v>0</v>
      </c>
      <c r="DP20" s="12">
        <f>'18'!$AD$40</f>
        <v>0</v>
      </c>
      <c r="DQ20" s="12">
        <f>MonitorProjetos!K252</f>
        <v>0</v>
      </c>
      <c r="DR20" s="12">
        <f>MonitorProjetos!L252</f>
        <v>0</v>
      </c>
      <c r="DS20" s="12">
        <f>MonitorProjetos!M252</f>
        <v>0</v>
      </c>
      <c r="DT20" s="12">
        <f>MonitorProjetos!$G$252</f>
        <v>0</v>
      </c>
      <c r="DU20" s="12" t="str">
        <f ca="1">MonitorProjetos!$E$252</f>
        <v/>
      </c>
      <c r="DV20" s="12">
        <f>MonitorProjetos!$I$252</f>
        <v>0</v>
      </c>
      <c r="DW20" s="12" t="str">
        <f ca="1">MonitorProjetos!$J$252</f>
        <v/>
      </c>
      <c r="DX20" s="12">
        <f>MonitorProjetos!$F$252</f>
        <v>0</v>
      </c>
      <c r="DY20">
        <f>'18'!$B$41</f>
        <v>0</v>
      </c>
      <c r="DZ20" s="12">
        <f>'18'!$Z$41</f>
        <v>0</v>
      </c>
      <c r="EA20" s="12">
        <f>'18'!$AD$41</f>
        <v>0</v>
      </c>
      <c r="EB20" s="12">
        <f>MonitorProjetos!K253</f>
        <v>0</v>
      </c>
      <c r="EC20" s="12">
        <f>MonitorProjetos!L253</f>
        <v>0</v>
      </c>
      <c r="ED20" s="12">
        <f>MonitorProjetos!M253</f>
        <v>0</v>
      </c>
      <c r="EE20" s="12">
        <f>MonitorProjetos!$G$253</f>
        <v>0</v>
      </c>
      <c r="EF20" s="12" t="str">
        <f ca="1">MonitorProjetos!$E$253</f>
        <v/>
      </c>
      <c r="EG20" s="12">
        <f>MonitorProjetos!$I$253</f>
        <v>0</v>
      </c>
      <c r="EH20" s="12" t="str">
        <f ca="1">MonitorProjetos!$J$253</f>
        <v/>
      </c>
      <c r="EI20" s="12">
        <f>MonitorProjetos!$F$253</f>
        <v>0</v>
      </c>
    </row>
    <row r="21" spans="1:139" hidden="1" x14ac:dyDescent="0.25">
      <c r="A21" s="52">
        <f t="shared" si="1"/>
        <v>19</v>
      </c>
      <c r="B21">
        <f>'19'!$H$8</f>
        <v>0</v>
      </c>
      <c r="C21">
        <f>'19'!$R$8</f>
        <v>0</v>
      </c>
      <c r="D21">
        <f>'19'!$Z$8</f>
        <v>0</v>
      </c>
      <c r="E21" t="str">
        <f>'19'!$H$6</f>
        <v>&lt;Nome curto / apelido / código do projeto &gt;</v>
      </c>
      <c r="F21" t="str">
        <f>'19'!$H$7</f>
        <v>&lt;indicar iniciativas do PO que o projeto contribui &gt;</v>
      </c>
      <c r="G21">
        <f>'19'!$M$7</f>
        <v>0</v>
      </c>
      <c r="H21">
        <f>'19'!$R$7</f>
        <v>0</v>
      </c>
      <c r="I21">
        <f>'19'!$X$7</f>
        <v>0</v>
      </c>
      <c r="J21">
        <f>'19'!$AD$7</f>
        <v>0</v>
      </c>
      <c r="K21" t="str">
        <f>'19'!$H$10</f>
        <v>&lt; servidor com a responsabilidade de planejar e controlar a execução do projeto &gt;</v>
      </c>
      <c r="L21" t="str">
        <f>'19'!$H$6</f>
        <v>&lt;Nome curto / apelido / código do projeto &gt;</v>
      </c>
      <c r="M21">
        <f t="shared" si="0"/>
        <v>19</v>
      </c>
      <c r="N21" s="12">
        <f>'19'!$H$11</f>
        <v>0</v>
      </c>
      <c r="O21" s="13">
        <f>'19'!$AB$11</f>
        <v>0</v>
      </c>
      <c r="P21" t="str">
        <f>'19'!$I$12</f>
        <v>Fulano da Silva</v>
      </c>
      <c r="Q21">
        <f>'19'!$AD$12</f>
        <v>12345</v>
      </c>
      <c r="R21">
        <f>'19'!$I$13</f>
        <v>0</v>
      </c>
      <c r="S21">
        <f>'19'!$AD$13</f>
        <v>0</v>
      </c>
      <c r="T21">
        <f>'19'!$I$14</f>
        <v>0</v>
      </c>
      <c r="U21">
        <f>'19'!$AD$14</f>
        <v>0</v>
      </c>
      <c r="V21">
        <f>'19'!$I$15</f>
        <v>0</v>
      </c>
      <c r="W21">
        <f>'19'!$AD$15</f>
        <v>0</v>
      </c>
      <c r="X21">
        <f>'19'!$I$16</f>
        <v>0</v>
      </c>
      <c r="Y21">
        <f>'19'!$AD$16</f>
        <v>0</v>
      </c>
      <c r="Z21">
        <f>'19'!$I$17</f>
        <v>0</v>
      </c>
      <c r="AA21">
        <f>'19'!$AD$17</f>
        <v>0</v>
      </c>
      <c r="AB21">
        <f>'19'!$I$18</f>
        <v>0</v>
      </c>
      <c r="AC21">
        <f>'19'!$AD$18</f>
        <v>0</v>
      </c>
      <c r="AD21">
        <f>'19'!$B$32</f>
        <v>0</v>
      </c>
      <c r="AE21" s="12">
        <f>'19'!$Z$32</f>
        <v>0</v>
      </c>
      <c r="AF21" s="12">
        <f>'19'!$AD$32</f>
        <v>0</v>
      </c>
      <c r="AG21" s="12">
        <f>MonitorProjetos!K258</f>
        <v>0</v>
      </c>
      <c r="AH21" s="12">
        <f>MonitorProjetos!L258</f>
        <v>43528</v>
      </c>
      <c r="AI21" s="12">
        <f>MonitorProjetos!M258</f>
        <v>0</v>
      </c>
      <c r="AJ21" s="12">
        <f>MonitorProjetos!$G$258</f>
        <v>0</v>
      </c>
      <c r="AK21" s="12" t="str">
        <f>MonitorProjetos!$E$258</f>
        <v>Concluída</v>
      </c>
      <c r="AL21" s="12">
        <f>MonitorProjetos!$I$258</f>
        <v>43660</v>
      </c>
      <c r="AM21" s="12">
        <f>MonitorProjetos!$J$258</f>
        <v>43660</v>
      </c>
      <c r="AN21" s="12" t="str">
        <f>MonitorProjetos!$F$258</f>
        <v>teste</v>
      </c>
      <c r="AO21">
        <f>'19'!$B$33</f>
        <v>0</v>
      </c>
      <c r="AP21" s="12">
        <f>'19'!$Z$33</f>
        <v>0</v>
      </c>
      <c r="AQ21" s="12">
        <f>'19'!$AD$33</f>
        <v>0</v>
      </c>
      <c r="AR21" s="12">
        <f>MonitorProjetos!K25</f>
        <v>0</v>
      </c>
      <c r="AS21" s="12">
        <f>MonitorProjetos!L259</f>
        <v>0</v>
      </c>
      <c r="AT21" s="35">
        <f>MonitorProjetos!M259</f>
        <v>0</v>
      </c>
      <c r="AU21" s="35">
        <f>MonitorProjetos!$G$259</f>
        <v>0</v>
      </c>
      <c r="AV21" s="35" t="str">
        <f ca="1">MonitorProjetos!$E$259</f>
        <v/>
      </c>
      <c r="AW21" s="35">
        <f>MonitorProjetos!$I$259</f>
        <v>0</v>
      </c>
      <c r="AX21" s="35" t="str">
        <f ca="1">MonitorProjetos!$J$259</f>
        <v/>
      </c>
      <c r="AY21" s="35">
        <f>MonitorProjetos!$F$259</f>
        <v>0</v>
      </c>
      <c r="AZ21">
        <f>'19'!$B$34</f>
        <v>0</v>
      </c>
      <c r="BA21" s="12">
        <f>'19'!$Z$34</f>
        <v>0</v>
      </c>
      <c r="BB21" s="12">
        <f>'19'!$AD$34</f>
        <v>0</v>
      </c>
      <c r="BC21" s="12">
        <f>MonitorProjetos!K260</f>
        <v>0</v>
      </c>
      <c r="BD21" s="12">
        <f>MonitorProjetos!L260</f>
        <v>0</v>
      </c>
      <c r="BE21" s="12">
        <f>MonitorProjetos!M260</f>
        <v>0</v>
      </c>
      <c r="BF21" s="12">
        <f>MonitorProjetos!$G$260</f>
        <v>0</v>
      </c>
      <c r="BG21" s="12" t="str">
        <f ca="1">MonitorProjetos!$E$260</f>
        <v/>
      </c>
      <c r="BH21" s="12">
        <f>MonitorProjetos!$I$260</f>
        <v>0</v>
      </c>
      <c r="BI21" s="12" t="str">
        <f ca="1">MonitorProjetos!$J$260</f>
        <v/>
      </c>
      <c r="BJ21" s="12">
        <f>MonitorProjetos!$F$260</f>
        <v>0</v>
      </c>
      <c r="BK21">
        <f>'19'!$B$35</f>
        <v>0</v>
      </c>
      <c r="BL21" s="12">
        <f>'19'!$Z$35</f>
        <v>0</v>
      </c>
      <c r="BM21" s="12">
        <f>'19'!$AD$35</f>
        <v>0</v>
      </c>
      <c r="BN21" s="12">
        <f>MonitorProjetos!K261</f>
        <v>0</v>
      </c>
      <c r="BO21" s="12">
        <f>MonitorProjetos!L261</f>
        <v>0</v>
      </c>
      <c r="BP21" s="12">
        <f>MonitorProjetos!M261</f>
        <v>0</v>
      </c>
      <c r="BQ21" s="12">
        <f>MonitorProjetos!$G$261</f>
        <v>0</v>
      </c>
      <c r="BR21" s="12" t="str">
        <f ca="1">MonitorProjetos!$E$261</f>
        <v/>
      </c>
      <c r="BS21" s="12">
        <f>MonitorProjetos!$I$261</f>
        <v>0</v>
      </c>
      <c r="BT21" s="12" t="str">
        <f ca="1">MonitorProjetos!$J$261</f>
        <v/>
      </c>
      <c r="BU21" s="12">
        <f>MonitorProjetos!$F$261</f>
        <v>0</v>
      </c>
      <c r="BV21">
        <f>'19'!$B$36</f>
        <v>0</v>
      </c>
      <c r="BW21" s="12">
        <f>'19'!$Z$36</f>
        <v>0</v>
      </c>
      <c r="BX21" s="12">
        <f>'19'!$AD$36</f>
        <v>0</v>
      </c>
      <c r="BY21" s="12">
        <f>MonitorProjetos!K262</f>
        <v>0</v>
      </c>
      <c r="BZ21" s="12">
        <f>MonitorProjetos!L262</f>
        <v>0</v>
      </c>
      <c r="CA21" s="12">
        <f>MonitorProjetos!M262</f>
        <v>0</v>
      </c>
      <c r="CB21" s="12">
        <f>MonitorProjetos!$G$262</f>
        <v>0</v>
      </c>
      <c r="CC21" s="12" t="str">
        <f ca="1">MonitorProjetos!$E$262</f>
        <v/>
      </c>
      <c r="CD21" s="12">
        <f>MonitorProjetos!$I$262</f>
        <v>0</v>
      </c>
      <c r="CE21" s="12" t="str">
        <f ca="1">MonitorProjetos!$J$262</f>
        <v/>
      </c>
      <c r="CF21" s="12">
        <f>MonitorProjetos!$F$262</f>
        <v>0</v>
      </c>
      <c r="CG21">
        <f>'19'!$B$37</f>
        <v>0</v>
      </c>
      <c r="CH21" s="12">
        <f>'19'!$Z$37</f>
        <v>0</v>
      </c>
      <c r="CI21" s="12">
        <f>'19'!$AD$37</f>
        <v>0</v>
      </c>
      <c r="CJ21" s="12">
        <f>MonitorProjetos!K263</f>
        <v>0</v>
      </c>
      <c r="CK21" s="12">
        <f>MonitorProjetos!L263</f>
        <v>0</v>
      </c>
      <c r="CL21" s="12">
        <f>MonitorProjetos!M263</f>
        <v>0</v>
      </c>
      <c r="CM21" s="12">
        <f>MonitorProjetos!$G$263</f>
        <v>0</v>
      </c>
      <c r="CN21" s="12" t="str">
        <f ca="1">MonitorProjetos!$E$263</f>
        <v/>
      </c>
      <c r="CO21" s="12">
        <f>MonitorProjetos!$I$263</f>
        <v>0</v>
      </c>
      <c r="CP21" s="12" t="str">
        <f ca="1">MonitorProjetos!$J$263</f>
        <v/>
      </c>
      <c r="CQ21" s="12">
        <f>MonitorProjetos!$F$263</f>
        <v>0</v>
      </c>
      <c r="CR21">
        <f>'19'!$B$38</f>
        <v>0</v>
      </c>
      <c r="CS21" s="12">
        <f>'19'!$Z$38</f>
        <v>0</v>
      </c>
      <c r="CT21" s="12">
        <f>'19'!$AD$38</f>
        <v>0</v>
      </c>
      <c r="CU21" s="12">
        <f>MonitorProjetos!K264</f>
        <v>0</v>
      </c>
      <c r="CV21" s="12">
        <f>MonitorProjetos!L264</f>
        <v>0</v>
      </c>
      <c r="CW21" s="12">
        <f>MonitorProjetos!M264</f>
        <v>0</v>
      </c>
      <c r="CX21" s="12">
        <f>MonitorProjetos!$G$264</f>
        <v>0</v>
      </c>
      <c r="CY21" s="12" t="str">
        <f ca="1">MonitorProjetos!$E$264</f>
        <v/>
      </c>
      <c r="CZ21" s="12">
        <f>MonitorProjetos!$I$264</f>
        <v>0</v>
      </c>
      <c r="DA21" s="12" t="str">
        <f ca="1">MonitorProjetos!$J$264</f>
        <v/>
      </c>
      <c r="DB21" s="12">
        <f>MonitorProjetos!$F$264</f>
        <v>0</v>
      </c>
      <c r="DC21">
        <f>'19'!$B$39</f>
        <v>0</v>
      </c>
      <c r="DD21" s="12">
        <f>'19'!$Z$39</f>
        <v>0</v>
      </c>
      <c r="DE21" s="12">
        <f>'19'!$AD$39</f>
        <v>0</v>
      </c>
      <c r="DF21" s="12">
        <f>MonitorProjetos!K265</f>
        <v>0</v>
      </c>
      <c r="DG21" s="12">
        <f>MonitorProjetos!L265</f>
        <v>0</v>
      </c>
      <c r="DH21" s="12">
        <f>MonitorProjetos!M265</f>
        <v>0</v>
      </c>
      <c r="DI21" s="12">
        <f>MonitorProjetos!$G$265</f>
        <v>0</v>
      </c>
      <c r="DJ21" s="12" t="str">
        <f ca="1">MonitorProjetos!$E$265</f>
        <v/>
      </c>
      <c r="DK21" s="12">
        <f>MonitorProjetos!$I$265</f>
        <v>0</v>
      </c>
      <c r="DL21" s="12" t="str">
        <f ca="1">MonitorProjetos!$J$265</f>
        <v/>
      </c>
      <c r="DM21" s="12">
        <f>MonitorProjetos!$F$265</f>
        <v>0</v>
      </c>
      <c r="DN21">
        <f>'19'!$B$40</f>
        <v>0</v>
      </c>
      <c r="DO21" s="12">
        <f>'19'!$Z$40</f>
        <v>0</v>
      </c>
      <c r="DP21" s="12">
        <f>'19'!$AD$40</f>
        <v>0</v>
      </c>
      <c r="DQ21" s="12">
        <f>MonitorProjetos!K266</f>
        <v>0</v>
      </c>
      <c r="DR21" s="12">
        <f>MonitorProjetos!L266</f>
        <v>0</v>
      </c>
      <c r="DS21" s="12">
        <f>MonitorProjetos!M266</f>
        <v>0</v>
      </c>
      <c r="DT21" s="12">
        <f>MonitorProjetos!$G$266</f>
        <v>0</v>
      </c>
      <c r="DU21" s="12" t="str">
        <f ca="1">MonitorProjetos!$E$266</f>
        <v/>
      </c>
      <c r="DV21" s="12">
        <f>MonitorProjetos!$I$266</f>
        <v>0</v>
      </c>
      <c r="DW21" s="12" t="str">
        <f ca="1">MonitorProjetos!$J$266</f>
        <v/>
      </c>
      <c r="DX21" s="12">
        <f>MonitorProjetos!$F$266</f>
        <v>0</v>
      </c>
      <c r="DY21">
        <f>'19'!$B$41</f>
        <v>0</v>
      </c>
      <c r="DZ21" s="12">
        <f>'19'!$Z$41</f>
        <v>0</v>
      </c>
      <c r="EA21" s="12">
        <f>'19'!$AD$41</f>
        <v>0</v>
      </c>
      <c r="EB21" s="12">
        <f>MonitorProjetos!K267</f>
        <v>0</v>
      </c>
      <c r="EC21" s="12">
        <f>MonitorProjetos!L267</f>
        <v>0</v>
      </c>
      <c r="ED21" s="12">
        <f>MonitorProjetos!M267</f>
        <v>0</v>
      </c>
      <c r="EE21" s="12">
        <f>MonitorProjetos!$G$267</f>
        <v>0</v>
      </c>
      <c r="EF21" s="12" t="str">
        <f ca="1">MonitorProjetos!$E$267</f>
        <v/>
      </c>
      <c r="EG21" s="12">
        <f>MonitorProjetos!$I$267</f>
        <v>0</v>
      </c>
      <c r="EH21" s="12" t="str">
        <f ca="1">MonitorProjetos!$J$267</f>
        <v/>
      </c>
      <c r="EI21" s="12">
        <f>MonitorProjetos!$F$267</f>
        <v>0</v>
      </c>
    </row>
    <row r="22" spans="1:139" hidden="1" x14ac:dyDescent="0.25">
      <c r="A22" s="52">
        <f t="shared" si="1"/>
        <v>20</v>
      </c>
      <c r="B22">
        <f>'20'!$H$8</f>
        <v>0</v>
      </c>
      <c r="C22">
        <f>'20'!$R$8</f>
        <v>0</v>
      </c>
      <c r="D22">
        <f>'20'!$Z$8</f>
        <v>0</v>
      </c>
      <c r="E22" t="str">
        <f>'20'!$H$6</f>
        <v>&lt;Nome curto / apelido / código do projeto &gt;</v>
      </c>
      <c r="F22" t="str">
        <f>'20'!$H$7</f>
        <v>&lt;indicar iniciativas do PO que o projeto contribui &gt;</v>
      </c>
      <c r="G22">
        <f>'20'!$M$7</f>
        <v>0</v>
      </c>
      <c r="H22">
        <f>'20'!$R$7</f>
        <v>0</v>
      </c>
      <c r="I22">
        <f>'20'!$X$7</f>
        <v>0</v>
      </c>
      <c r="J22">
        <f>'20'!$AD$7</f>
        <v>0</v>
      </c>
      <c r="K22" t="str">
        <f>'20'!$H$10</f>
        <v>&lt; servidor com a responsabilidade de planejar e controlar a execução do projeto &gt;</v>
      </c>
      <c r="L22" t="str">
        <f>'20'!$H$6</f>
        <v>&lt;Nome curto / apelido / código do projeto &gt;</v>
      </c>
      <c r="M22">
        <f t="shared" si="0"/>
        <v>20</v>
      </c>
      <c r="N22" s="12">
        <f>'20'!$H$11</f>
        <v>0</v>
      </c>
      <c r="O22" s="13">
        <f>'20'!$AB$11</f>
        <v>0</v>
      </c>
      <c r="P22" t="str">
        <f>'20'!$I$12</f>
        <v>Fulano da Silva</v>
      </c>
      <c r="Q22">
        <f>'20'!$AD$12</f>
        <v>12345</v>
      </c>
      <c r="R22">
        <f>'20'!$I$13</f>
        <v>0</v>
      </c>
      <c r="S22">
        <f>'20'!$AD$13</f>
        <v>0</v>
      </c>
      <c r="T22">
        <f>'20'!$I$14</f>
        <v>0</v>
      </c>
      <c r="U22">
        <f>'20'!$AD$14</f>
        <v>0</v>
      </c>
      <c r="V22">
        <f>'20'!$I$15</f>
        <v>0</v>
      </c>
      <c r="W22">
        <f>'20'!$AD$15</f>
        <v>0</v>
      </c>
      <c r="X22">
        <f>'20'!$I$16</f>
        <v>0</v>
      </c>
      <c r="Y22">
        <f>'20'!$AD$16</f>
        <v>0</v>
      </c>
      <c r="Z22">
        <f>'20'!$I$17</f>
        <v>0</v>
      </c>
      <c r="AA22">
        <f>'20'!$AD$17</f>
        <v>0</v>
      </c>
      <c r="AB22">
        <f>'20'!$I$18</f>
        <v>0</v>
      </c>
      <c r="AC22">
        <f>'20'!$AD$18</f>
        <v>0</v>
      </c>
      <c r="AD22">
        <f>'20'!$B$32</f>
        <v>0</v>
      </c>
      <c r="AE22" s="12">
        <f>'20'!$Z$32</f>
        <v>0</v>
      </c>
      <c r="AF22" s="12">
        <f>'20'!$AD$32</f>
        <v>0</v>
      </c>
      <c r="AG22" s="12">
        <f>MonitorProjetos!K272</f>
        <v>43528</v>
      </c>
      <c r="AH22" s="12">
        <f>MonitorProjetos!L272</f>
        <v>43652</v>
      </c>
      <c r="AI22" s="12">
        <f>MonitorProjetos!M272</f>
        <v>0</v>
      </c>
      <c r="AJ22" s="12">
        <f>MonitorProjetos!$G$272</f>
        <v>43678</v>
      </c>
      <c r="AK22" s="12" t="str">
        <f>MonitorProjetos!$E$272</f>
        <v>Concluída</v>
      </c>
      <c r="AL22" s="12">
        <f>MonitorProjetos!$I$272</f>
        <v>43661</v>
      </c>
      <c r="AM22" s="12">
        <f>MonitorProjetos!$J$272</f>
        <v>-17</v>
      </c>
      <c r="AN22" s="12" t="str">
        <f>MonitorProjetos!$F$272</f>
        <v>teste</v>
      </c>
      <c r="AO22">
        <f>'20'!$B$33</f>
        <v>0</v>
      </c>
      <c r="AP22" s="12">
        <f>'20'!$Z$33</f>
        <v>0</v>
      </c>
      <c r="AQ22" s="12">
        <f>'20'!$AD$33</f>
        <v>0</v>
      </c>
      <c r="AR22" s="12">
        <f>MonitorProjetos!K26</f>
        <v>0</v>
      </c>
      <c r="AS22" s="12">
        <f>MonitorProjetos!L273</f>
        <v>0</v>
      </c>
      <c r="AT22" s="35">
        <f>MonitorProjetos!M273</f>
        <v>0</v>
      </c>
      <c r="AU22" s="35">
        <f>MonitorProjetos!$G$273</f>
        <v>0</v>
      </c>
      <c r="AV22" s="35" t="str">
        <f ca="1">MonitorProjetos!$E$273</f>
        <v/>
      </c>
      <c r="AW22" s="35">
        <f>MonitorProjetos!$I$273</f>
        <v>0</v>
      </c>
      <c r="AX22" s="35" t="str">
        <f ca="1">MonitorProjetos!$J$273</f>
        <v/>
      </c>
      <c r="AY22" s="35">
        <f>MonitorProjetos!$F$273</f>
        <v>0</v>
      </c>
      <c r="AZ22">
        <f>'20'!$B$34</f>
        <v>0</v>
      </c>
      <c r="BA22" s="12">
        <f>'20'!$Z$34</f>
        <v>0</v>
      </c>
      <c r="BB22" s="12">
        <f>'20'!$AD$34</f>
        <v>0</v>
      </c>
      <c r="BC22" s="12">
        <f>MonitorProjetos!K274</f>
        <v>0</v>
      </c>
      <c r="BD22" s="12">
        <f>MonitorProjetos!L274</f>
        <v>0</v>
      </c>
      <c r="BE22" s="12">
        <f>MonitorProjetos!M274</f>
        <v>0</v>
      </c>
      <c r="BF22" s="12">
        <f>MonitorProjetos!$G$274</f>
        <v>0</v>
      </c>
      <c r="BG22" s="12" t="str">
        <f ca="1">MonitorProjetos!$E$274</f>
        <v/>
      </c>
      <c r="BH22" s="12">
        <f>MonitorProjetos!$I$274</f>
        <v>0</v>
      </c>
      <c r="BI22" s="12" t="str">
        <f ca="1">MonitorProjetos!$J$274</f>
        <v/>
      </c>
      <c r="BJ22" s="12">
        <f>MonitorProjetos!$F$274</f>
        <v>0</v>
      </c>
      <c r="BK22">
        <f>'20'!$B$35</f>
        <v>0</v>
      </c>
      <c r="BL22" s="12">
        <f>'20'!$Z$35</f>
        <v>0</v>
      </c>
      <c r="BM22" s="12">
        <f>'20'!$AD$35</f>
        <v>0</v>
      </c>
      <c r="BN22" s="12">
        <f>MonitorProjetos!K275</f>
        <v>0</v>
      </c>
      <c r="BO22" s="12">
        <f>MonitorProjetos!L275</f>
        <v>0</v>
      </c>
      <c r="BP22" s="12">
        <f>MonitorProjetos!M275</f>
        <v>0</v>
      </c>
      <c r="BQ22" s="12">
        <f>MonitorProjetos!$G$275</f>
        <v>0</v>
      </c>
      <c r="BR22" s="12" t="str">
        <f ca="1">MonitorProjetos!$E$275</f>
        <v/>
      </c>
      <c r="BS22" s="12">
        <f>MonitorProjetos!$I$275</f>
        <v>0</v>
      </c>
      <c r="BT22" s="12" t="str">
        <f ca="1">MonitorProjetos!$J$275</f>
        <v/>
      </c>
      <c r="BU22" s="12">
        <f>MonitorProjetos!$F$275</f>
        <v>0</v>
      </c>
      <c r="BV22">
        <f>'20'!$B$36</f>
        <v>0</v>
      </c>
      <c r="BW22" s="12">
        <f>'20'!$Z$36</f>
        <v>0</v>
      </c>
      <c r="BX22" s="12">
        <f>'20'!$AD$36</f>
        <v>0</v>
      </c>
      <c r="BY22" s="12">
        <f>MonitorProjetos!K276</f>
        <v>0</v>
      </c>
      <c r="BZ22" s="12">
        <f>MonitorProjetos!L276</f>
        <v>0</v>
      </c>
      <c r="CA22" s="12">
        <f>MonitorProjetos!M276</f>
        <v>0</v>
      </c>
      <c r="CB22" s="12">
        <f>MonitorProjetos!$G$276</f>
        <v>0</v>
      </c>
      <c r="CC22" s="12" t="str">
        <f ca="1">MonitorProjetos!$E$276</f>
        <v/>
      </c>
      <c r="CD22" s="12">
        <f>MonitorProjetos!$I$276</f>
        <v>0</v>
      </c>
      <c r="CE22" s="12" t="str">
        <f ca="1">MonitorProjetos!$J$276</f>
        <v/>
      </c>
      <c r="CF22" s="12">
        <f>MonitorProjetos!$F$276</f>
        <v>0</v>
      </c>
      <c r="CG22">
        <f>'20'!$B$37</f>
        <v>0</v>
      </c>
      <c r="CH22" s="12">
        <f>'20'!$Z$37</f>
        <v>0</v>
      </c>
      <c r="CI22" s="12">
        <f>'20'!$AD$37</f>
        <v>0</v>
      </c>
      <c r="CJ22" s="12">
        <f>MonitorProjetos!K277</f>
        <v>0</v>
      </c>
      <c r="CK22" s="12">
        <f>MonitorProjetos!L277</f>
        <v>0</v>
      </c>
      <c r="CL22" s="12">
        <f>MonitorProjetos!M277</f>
        <v>0</v>
      </c>
      <c r="CM22" s="12">
        <f>MonitorProjetos!$G$277</f>
        <v>0</v>
      </c>
      <c r="CN22" s="12" t="str">
        <f ca="1">MonitorProjetos!$E$277</f>
        <v/>
      </c>
      <c r="CO22" s="12">
        <f>MonitorProjetos!$I$277</f>
        <v>0</v>
      </c>
      <c r="CP22" s="12" t="str">
        <f ca="1">MonitorProjetos!$J$277</f>
        <v/>
      </c>
      <c r="CQ22" s="12">
        <f>MonitorProjetos!$F$277</f>
        <v>0</v>
      </c>
      <c r="CR22">
        <f>'20'!$B$38</f>
        <v>0</v>
      </c>
      <c r="CS22" s="12">
        <f>'20'!$Z$38</f>
        <v>0</v>
      </c>
      <c r="CT22" s="12">
        <f>'20'!$AD$38</f>
        <v>0</v>
      </c>
      <c r="CU22" s="12">
        <f>MonitorProjetos!K278</f>
        <v>0</v>
      </c>
      <c r="CV22" s="12">
        <f>MonitorProjetos!L278</f>
        <v>0</v>
      </c>
      <c r="CW22" s="12">
        <f>MonitorProjetos!M278</f>
        <v>0</v>
      </c>
      <c r="CX22" s="12">
        <f>MonitorProjetos!$G$278</f>
        <v>0</v>
      </c>
      <c r="CY22" s="12" t="str">
        <f ca="1">MonitorProjetos!$E$278</f>
        <v/>
      </c>
      <c r="CZ22" s="12">
        <f>MonitorProjetos!$I$278</f>
        <v>0</v>
      </c>
      <c r="DA22" s="12" t="str">
        <f ca="1">MonitorProjetos!$J$278</f>
        <v/>
      </c>
      <c r="DB22" s="12">
        <f>MonitorProjetos!$F$278</f>
        <v>0</v>
      </c>
      <c r="DC22">
        <f>'20'!$B$39</f>
        <v>0</v>
      </c>
      <c r="DD22" s="12">
        <f>'20'!$Z$39</f>
        <v>0</v>
      </c>
      <c r="DE22" s="12">
        <f>'20'!$AD$39</f>
        <v>0</v>
      </c>
      <c r="DF22" s="12">
        <f>MonitorProjetos!K279</f>
        <v>0</v>
      </c>
      <c r="DG22" s="12">
        <f>MonitorProjetos!L279</f>
        <v>0</v>
      </c>
      <c r="DH22" s="12">
        <f>MonitorProjetos!M279</f>
        <v>0</v>
      </c>
      <c r="DI22" s="12">
        <f>MonitorProjetos!$G$279</f>
        <v>0</v>
      </c>
      <c r="DJ22" s="12" t="str">
        <f ca="1">MonitorProjetos!$E$279</f>
        <v/>
      </c>
      <c r="DK22" s="12">
        <f>MonitorProjetos!$I$279</f>
        <v>0</v>
      </c>
      <c r="DL22" s="12" t="str">
        <f ca="1">MonitorProjetos!$J$279</f>
        <v/>
      </c>
      <c r="DM22" s="12">
        <f>MonitorProjetos!$F$279</f>
        <v>0</v>
      </c>
      <c r="DN22">
        <f>'20'!$B$40</f>
        <v>0</v>
      </c>
      <c r="DO22" s="12">
        <f>'20'!$Z$40</f>
        <v>0</v>
      </c>
      <c r="DP22" s="12">
        <f>'20'!$AD$40</f>
        <v>0</v>
      </c>
      <c r="DQ22" s="12">
        <f>MonitorProjetos!K280</f>
        <v>0</v>
      </c>
      <c r="DR22" s="12">
        <f>MonitorProjetos!L280</f>
        <v>0</v>
      </c>
      <c r="DS22" s="12">
        <f>MonitorProjetos!M280</f>
        <v>0</v>
      </c>
      <c r="DT22" s="12">
        <f>MonitorProjetos!$G$280</f>
        <v>0</v>
      </c>
      <c r="DU22" s="12" t="str">
        <f ca="1">MonitorProjetos!$E$280</f>
        <v/>
      </c>
      <c r="DV22" s="12">
        <f>MonitorProjetos!$I$280</f>
        <v>0</v>
      </c>
      <c r="DW22" s="12" t="str">
        <f ca="1">MonitorProjetos!$J$280</f>
        <v/>
      </c>
      <c r="DX22" s="12">
        <f>MonitorProjetos!$F$280</f>
        <v>0</v>
      </c>
      <c r="DY22">
        <f>'20'!$B$41</f>
        <v>0</v>
      </c>
      <c r="DZ22" s="12">
        <f>'20'!$Z$41</f>
        <v>0</v>
      </c>
      <c r="EA22" s="12">
        <f>'20'!$AD$41</f>
        <v>0</v>
      </c>
      <c r="EB22" s="12">
        <f>MonitorProjetos!K281</f>
        <v>0</v>
      </c>
      <c r="EC22" s="12">
        <f>MonitorProjetos!L281</f>
        <v>0</v>
      </c>
      <c r="ED22" s="12">
        <f>MonitorProjetos!M281</f>
        <v>0</v>
      </c>
      <c r="EE22" s="12">
        <f>MonitorProjetos!$G$281</f>
        <v>0</v>
      </c>
      <c r="EF22" s="12" t="str">
        <f ca="1">MonitorProjetos!$E$281</f>
        <v/>
      </c>
      <c r="EG22" s="12">
        <f>MonitorProjetos!$I$281</f>
        <v>0</v>
      </c>
      <c r="EH22" s="12" t="str">
        <f ca="1">MonitorProjetos!$J$281</f>
        <v/>
      </c>
      <c r="EI22" s="12">
        <f>MonitorProjetos!$F$281</f>
        <v>0</v>
      </c>
    </row>
  </sheetData>
  <sheetProtection algorithmName="SHA-512" hashValue="1vyko8Jj5wHGOxw4K1dqGIuuHS7TsBc0nFy91tLhVj/lAOrNgR4j6cHYG8c4mDn2+Td2UekZL7qfy71ygfaUUQ==" saltValue="db/hrtQjTTJNDzZZfWRfZA==" spinCount="100000" sheet="1" objects="1" scenarios="1" selectLockedCells="1" autoFilter="0"/>
  <mergeCells count="3">
    <mergeCell ref="P1:AC1"/>
    <mergeCell ref="B1:O1"/>
    <mergeCell ref="AD1:EI1"/>
  </mergeCells>
  <pageMargins left="0.25" right="0.25" top="0.75" bottom="0.75" header="0.3" footer="0.3"/>
  <pageSetup paperSize="9" scale="11" fitToHeight="0" orientation="landscape" r:id="rId1"/>
  <ignoredErrors>
    <ignoredError sqref="AJ4 AJ6:AJ7" calculatedColumn="1"/>
  </ignoredErrors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BE82D-81A4-4A75-B3B9-134B40E206D4}">
  <sheetPr codeName="Planilha25"/>
  <dimension ref="A1:Y150"/>
  <sheetViews>
    <sheetView showGridLines="0" showZeros="0" topLeftCell="A26" workbookViewId="0">
      <selection activeCell="A43" sqref="A43"/>
    </sheetView>
  </sheetViews>
  <sheetFormatPr defaultColWidth="0" defaultRowHeight="15" x14ac:dyDescent="0.25"/>
  <cols>
    <col min="1" max="1" width="10.7109375" style="35" bestFit="1" customWidth="1"/>
    <col min="2" max="2" width="9.140625" customWidth="1"/>
    <col min="3" max="3" width="10.7109375" bestFit="1" customWidth="1"/>
    <col min="4" max="7" width="10.7109375" customWidth="1"/>
    <col min="8" max="8" width="6.140625" bestFit="1" customWidth="1"/>
    <col min="9" max="9" width="5.7109375" style="58" bestFit="1" customWidth="1"/>
    <col min="10" max="10" width="7.140625" style="58" bestFit="1" customWidth="1"/>
    <col min="11" max="13" width="10.7109375" customWidth="1"/>
    <col min="14" max="16" width="10.7109375" style="58" customWidth="1"/>
    <col min="17" max="17" width="10.7109375" customWidth="1"/>
    <col min="18" max="18" width="9.140625" customWidth="1"/>
    <col min="19" max="25" width="0" hidden="1" customWidth="1"/>
    <col min="26" max="16384" width="9.140625" hidden="1"/>
  </cols>
  <sheetData>
    <row r="1" spans="1:17" x14ac:dyDescent="0.25">
      <c r="A1" s="35" t="s">
        <v>125</v>
      </c>
      <c r="C1" s="13">
        <v>43101</v>
      </c>
      <c r="D1" s="13"/>
      <c r="E1" s="13"/>
      <c r="F1" s="13"/>
      <c r="G1" s="13"/>
      <c r="H1" t="s">
        <v>395</v>
      </c>
      <c r="I1" s="58" t="s">
        <v>397</v>
      </c>
      <c r="J1" s="58" t="s">
        <v>398</v>
      </c>
      <c r="K1" s="58" t="s">
        <v>399</v>
      </c>
      <c r="L1" s="13" t="s">
        <v>400</v>
      </c>
      <c r="M1" s="13" t="s">
        <v>401</v>
      </c>
      <c r="N1" s="58" t="s">
        <v>402</v>
      </c>
      <c r="Q1" s="13"/>
    </row>
    <row r="2" spans="1:17" x14ac:dyDescent="0.25">
      <c r="A2" s="35">
        <v>43466</v>
      </c>
      <c r="C2" s="13">
        <v>55153</v>
      </c>
      <c r="D2" s="13"/>
      <c r="E2" s="13"/>
      <c r="F2" s="13"/>
      <c r="G2" s="13"/>
      <c r="H2" s="13" t="s">
        <v>255</v>
      </c>
      <c r="I2" s="58">
        <v>1</v>
      </c>
      <c r="J2" s="58">
        <v>5</v>
      </c>
      <c r="K2" s="57" t="str">
        <f t="shared" ref="K2:K33" si="0">INDEX(projetos,I2,J2)</f>
        <v>Fulano da Silva</v>
      </c>
      <c r="L2" s="13">
        <f t="shared" ref="L2:L33" si="1">INDEX(projetos,I2,3)</f>
        <v>43466</v>
      </c>
      <c r="M2" s="13">
        <f t="shared" ref="M2:M33" si="2">INDEX(projetos,I2,4)</f>
        <v>43708</v>
      </c>
      <c r="N2" s="59">
        <f t="shared" ref="N2:N33" si="3">INDEX(projetos,I2,J2+1)</f>
        <v>12345</v>
      </c>
      <c r="Q2" s="13"/>
    </row>
    <row r="3" spans="1:17" x14ac:dyDescent="0.25">
      <c r="A3" s="35">
        <f>A2+31</f>
        <v>43497</v>
      </c>
      <c r="H3" s="13" t="s">
        <v>256</v>
      </c>
      <c r="I3" s="58">
        <f t="shared" ref="I3:I60" si="4">I2</f>
        <v>1</v>
      </c>
      <c r="J3" s="58">
        <f>J2+2</f>
        <v>7</v>
      </c>
      <c r="K3" s="57">
        <f t="shared" si="0"/>
        <v>0</v>
      </c>
      <c r="L3" s="13">
        <f t="shared" si="1"/>
        <v>43466</v>
      </c>
      <c r="M3" s="13">
        <f t="shared" si="2"/>
        <v>43708</v>
      </c>
      <c r="N3" s="59">
        <f t="shared" si="3"/>
        <v>32156</v>
      </c>
    </row>
    <row r="4" spans="1:17" x14ac:dyDescent="0.25">
      <c r="A4" s="35">
        <f t="shared" ref="A4:A41" si="5">A3+31</f>
        <v>43528</v>
      </c>
      <c r="H4" s="13" t="s">
        <v>257</v>
      </c>
      <c r="I4" s="58">
        <f t="shared" si="4"/>
        <v>1</v>
      </c>
      <c r="J4" s="58">
        <f t="shared" ref="J4:J8" si="6">J3+2</f>
        <v>9</v>
      </c>
      <c r="K4" s="57" t="str">
        <f t="shared" si="0"/>
        <v>ciclano</v>
      </c>
      <c r="L4" s="13">
        <f t="shared" si="1"/>
        <v>43466</v>
      </c>
      <c r="M4" s="13">
        <f t="shared" si="2"/>
        <v>43708</v>
      </c>
      <c r="N4" s="59">
        <f t="shared" si="3"/>
        <v>23456</v>
      </c>
    </row>
    <row r="5" spans="1:17" x14ac:dyDescent="0.25">
      <c r="A5" s="35">
        <f t="shared" si="5"/>
        <v>43559</v>
      </c>
      <c r="H5" s="13" t="s">
        <v>258</v>
      </c>
      <c r="I5" s="58">
        <f t="shared" si="4"/>
        <v>1</v>
      </c>
      <c r="J5" s="58">
        <f t="shared" si="6"/>
        <v>11</v>
      </c>
      <c r="K5" s="57" t="str">
        <f t="shared" si="0"/>
        <v>zé</v>
      </c>
      <c r="L5" s="13">
        <f t="shared" si="1"/>
        <v>43466</v>
      </c>
      <c r="M5" s="13">
        <f t="shared" si="2"/>
        <v>43708</v>
      </c>
      <c r="N5" s="59">
        <f t="shared" si="3"/>
        <v>76556</v>
      </c>
    </row>
    <row r="6" spans="1:17" x14ac:dyDescent="0.25">
      <c r="A6" s="35">
        <f t="shared" si="5"/>
        <v>43590</v>
      </c>
      <c r="H6" s="13" t="s">
        <v>259</v>
      </c>
      <c r="I6" s="58">
        <f t="shared" si="4"/>
        <v>1</v>
      </c>
      <c r="J6" s="58">
        <f t="shared" si="6"/>
        <v>13</v>
      </c>
      <c r="K6" s="57" t="str">
        <f t="shared" si="0"/>
        <v>carro</v>
      </c>
      <c r="L6" s="13">
        <f t="shared" si="1"/>
        <v>43466</v>
      </c>
      <c r="M6" s="13">
        <f t="shared" si="2"/>
        <v>43708</v>
      </c>
      <c r="N6" s="59">
        <f t="shared" si="3"/>
        <v>34533</v>
      </c>
    </row>
    <row r="7" spans="1:17" x14ac:dyDescent="0.25">
      <c r="A7" s="35">
        <f t="shared" si="5"/>
        <v>43621</v>
      </c>
      <c r="H7" s="13" t="s">
        <v>260</v>
      </c>
      <c r="I7" s="58">
        <f t="shared" si="4"/>
        <v>1</v>
      </c>
      <c r="J7" s="58">
        <f t="shared" si="6"/>
        <v>15</v>
      </c>
      <c r="K7" s="57" t="str">
        <f t="shared" si="0"/>
        <v>bola</v>
      </c>
      <c r="L7" s="13">
        <f t="shared" si="1"/>
        <v>43466</v>
      </c>
      <c r="M7" s="13">
        <f t="shared" si="2"/>
        <v>43708</v>
      </c>
      <c r="N7" s="59">
        <f t="shared" si="3"/>
        <v>34454</v>
      </c>
    </row>
    <row r="8" spans="1:17" x14ac:dyDescent="0.25">
      <c r="A8" s="35">
        <f t="shared" si="5"/>
        <v>43652</v>
      </c>
      <c r="H8" s="13" t="s">
        <v>261</v>
      </c>
      <c r="I8" s="58">
        <f t="shared" si="4"/>
        <v>1</v>
      </c>
      <c r="J8" s="58">
        <f t="shared" si="6"/>
        <v>17</v>
      </c>
      <c r="K8" s="57" t="str">
        <f t="shared" si="0"/>
        <v>mané</v>
      </c>
      <c r="L8" s="13">
        <f t="shared" si="1"/>
        <v>43466</v>
      </c>
      <c r="M8" s="13">
        <f t="shared" si="2"/>
        <v>43708</v>
      </c>
      <c r="N8" s="59">
        <f t="shared" si="3"/>
        <v>34534</v>
      </c>
    </row>
    <row r="9" spans="1:17" x14ac:dyDescent="0.25">
      <c r="A9" s="35">
        <f t="shared" si="5"/>
        <v>43683</v>
      </c>
      <c r="H9" s="13" t="s">
        <v>262</v>
      </c>
      <c r="I9" s="58">
        <f>I8+1</f>
        <v>2</v>
      </c>
      <c r="J9" s="58">
        <f>J2</f>
        <v>5</v>
      </c>
      <c r="K9" s="57" t="str">
        <f t="shared" si="0"/>
        <v>Fulano da Silva</v>
      </c>
      <c r="L9" s="13">
        <f t="shared" si="1"/>
        <v>43497</v>
      </c>
      <c r="M9" s="13">
        <f t="shared" si="2"/>
        <v>43708</v>
      </c>
      <c r="N9" s="59">
        <f t="shared" si="3"/>
        <v>12345</v>
      </c>
    </row>
    <row r="10" spans="1:17" x14ac:dyDescent="0.25">
      <c r="A10" s="35">
        <f t="shared" si="5"/>
        <v>43714</v>
      </c>
      <c r="H10" s="13" t="s">
        <v>263</v>
      </c>
      <c r="I10" s="58">
        <f t="shared" si="4"/>
        <v>2</v>
      </c>
      <c r="J10" s="58">
        <f>J9+2</f>
        <v>7</v>
      </c>
      <c r="K10" s="57">
        <f t="shared" si="0"/>
        <v>0</v>
      </c>
      <c r="L10" s="13">
        <f t="shared" si="1"/>
        <v>43497</v>
      </c>
      <c r="M10" s="13">
        <f t="shared" si="2"/>
        <v>43708</v>
      </c>
      <c r="N10" s="59">
        <f t="shared" si="3"/>
        <v>0</v>
      </c>
    </row>
    <row r="11" spans="1:17" x14ac:dyDescent="0.25">
      <c r="A11" s="35">
        <f t="shared" si="5"/>
        <v>43745</v>
      </c>
      <c r="H11" s="13" t="s">
        <v>264</v>
      </c>
      <c r="I11" s="58">
        <f t="shared" si="4"/>
        <v>2</v>
      </c>
      <c r="J11" s="58">
        <f t="shared" ref="J11:J15" si="7">J10+2</f>
        <v>9</v>
      </c>
      <c r="K11" s="57">
        <f t="shared" si="0"/>
        <v>0</v>
      </c>
      <c r="L11" s="13">
        <f t="shared" si="1"/>
        <v>43497</v>
      </c>
      <c r="M11" s="13">
        <f t="shared" si="2"/>
        <v>43708</v>
      </c>
      <c r="N11" s="59">
        <f t="shared" si="3"/>
        <v>0</v>
      </c>
    </row>
    <row r="12" spans="1:17" x14ac:dyDescent="0.25">
      <c r="A12" s="35">
        <f t="shared" si="5"/>
        <v>43776</v>
      </c>
      <c r="H12" s="13" t="s">
        <v>265</v>
      </c>
      <c r="I12" s="58">
        <f t="shared" si="4"/>
        <v>2</v>
      </c>
      <c r="J12" s="58">
        <f t="shared" si="7"/>
        <v>11</v>
      </c>
      <c r="K12" s="57">
        <f t="shared" si="0"/>
        <v>0</v>
      </c>
      <c r="L12" s="13">
        <f t="shared" si="1"/>
        <v>43497</v>
      </c>
      <c r="M12" s="13">
        <f t="shared" si="2"/>
        <v>43708</v>
      </c>
      <c r="N12" s="59">
        <f t="shared" si="3"/>
        <v>0</v>
      </c>
    </row>
    <row r="13" spans="1:17" x14ac:dyDescent="0.25">
      <c r="A13" s="35">
        <f t="shared" si="5"/>
        <v>43807</v>
      </c>
      <c r="H13" s="13" t="s">
        <v>266</v>
      </c>
      <c r="I13" s="58">
        <f t="shared" si="4"/>
        <v>2</v>
      </c>
      <c r="J13" s="58">
        <f t="shared" si="7"/>
        <v>13</v>
      </c>
      <c r="K13" s="57">
        <f t="shared" si="0"/>
        <v>0</v>
      </c>
      <c r="L13" s="13">
        <f t="shared" si="1"/>
        <v>43497</v>
      </c>
      <c r="M13" s="13">
        <f t="shared" si="2"/>
        <v>43708</v>
      </c>
      <c r="N13" s="59">
        <f t="shared" si="3"/>
        <v>0</v>
      </c>
    </row>
    <row r="14" spans="1:17" x14ac:dyDescent="0.25">
      <c r="A14" s="35">
        <f t="shared" si="5"/>
        <v>43838</v>
      </c>
      <c r="H14" s="13" t="s">
        <v>267</v>
      </c>
      <c r="I14" s="58">
        <f t="shared" si="4"/>
        <v>2</v>
      </c>
      <c r="J14" s="58">
        <f t="shared" si="7"/>
        <v>15</v>
      </c>
      <c r="K14" s="57">
        <f t="shared" si="0"/>
        <v>0</v>
      </c>
      <c r="L14" s="13">
        <f t="shared" si="1"/>
        <v>43497</v>
      </c>
      <c r="M14" s="13">
        <f t="shared" si="2"/>
        <v>43708</v>
      </c>
      <c r="N14" s="59">
        <f t="shared" si="3"/>
        <v>0</v>
      </c>
    </row>
    <row r="15" spans="1:17" x14ac:dyDescent="0.25">
      <c r="A15" s="35">
        <f t="shared" si="5"/>
        <v>43869</v>
      </c>
      <c r="H15" s="13" t="s">
        <v>268</v>
      </c>
      <c r="I15" s="58">
        <f t="shared" si="4"/>
        <v>2</v>
      </c>
      <c r="J15" s="58">
        <f t="shared" si="7"/>
        <v>17</v>
      </c>
      <c r="K15" s="57">
        <f t="shared" si="0"/>
        <v>0</v>
      </c>
      <c r="L15" s="13">
        <f t="shared" si="1"/>
        <v>43497</v>
      </c>
      <c r="M15" s="13">
        <f t="shared" si="2"/>
        <v>43708</v>
      </c>
      <c r="N15" s="59">
        <f t="shared" si="3"/>
        <v>0</v>
      </c>
    </row>
    <row r="16" spans="1:17" x14ac:dyDescent="0.25">
      <c r="A16" s="35">
        <f t="shared" si="5"/>
        <v>43900</v>
      </c>
      <c r="H16" s="13" t="s">
        <v>269</v>
      </c>
      <c r="I16" s="58">
        <f>I15+1</f>
        <v>3</v>
      </c>
      <c r="J16" s="58">
        <f>J9</f>
        <v>5</v>
      </c>
      <c r="K16" s="57" t="str">
        <f t="shared" si="0"/>
        <v>Fulano da Silva</v>
      </c>
      <c r="L16" s="13">
        <f t="shared" si="1"/>
        <v>43497</v>
      </c>
      <c r="M16" s="13">
        <f t="shared" si="2"/>
        <v>43708</v>
      </c>
      <c r="N16" s="59">
        <f t="shared" si="3"/>
        <v>12345</v>
      </c>
    </row>
    <row r="17" spans="1:14" x14ac:dyDescent="0.25">
      <c r="A17" s="35">
        <f t="shared" si="5"/>
        <v>43931</v>
      </c>
      <c r="H17" s="13" t="s">
        <v>270</v>
      </c>
      <c r="I17" s="58">
        <f t="shared" si="4"/>
        <v>3</v>
      </c>
      <c r="J17" s="58">
        <f>J16+2</f>
        <v>7</v>
      </c>
      <c r="K17" s="57">
        <f t="shared" si="0"/>
        <v>0</v>
      </c>
      <c r="L17" s="13">
        <f t="shared" si="1"/>
        <v>43497</v>
      </c>
      <c r="M17" s="13">
        <f t="shared" si="2"/>
        <v>43708</v>
      </c>
      <c r="N17" s="59">
        <f t="shared" si="3"/>
        <v>0</v>
      </c>
    </row>
    <row r="18" spans="1:14" x14ac:dyDescent="0.25">
      <c r="A18" s="35">
        <f t="shared" si="5"/>
        <v>43962</v>
      </c>
      <c r="H18" s="13" t="s">
        <v>271</v>
      </c>
      <c r="I18" s="58">
        <f t="shared" si="4"/>
        <v>3</v>
      </c>
      <c r="J18" s="58">
        <f t="shared" ref="J18:J22" si="8">J17+2</f>
        <v>9</v>
      </c>
      <c r="K18" s="57">
        <f t="shared" si="0"/>
        <v>0</v>
      </c>
      <c r="L18" s="13">
        <f t="shared" si="1"/>
        <v>43497</v>
      </c>
      <c r="M18" s="13">
        <f t="shared" si="2"/>
        <v>43708</v>
      </c>
      <c r="N18" s="59">
        <f t="shared" si="3"/>
        <v>0</v>
      </c>
    </row>
    <row r="19" spans="1:14" x14ac:dyDescent="0.25">
      <c r="A19" s="35">
        <f t="shared" si="5"/>
        <v>43993</v>
      </c>
      <c r="H19" s="13" t="s">
        <v>272</v>
      </c>
      <c r="I19" s="58">
        <f t="shared" si="4"/>
        <v>3</v>
      </c>
      <c r="J19" s="58">
        <f t="shared" si="8"/>
        <v>11</v>
      </c>
      <c r="K19" s="57">
        <f t="shared" si="0"/>
        <v>0</v>
      </c>
      <c r="L19" s="13">
        <f t="shared" si="1"/>
        <v>43497</v>
      </c>
      <c r="M19" s="13">
        <f t="shared" si="2"/>
        <v>43708</v>
      </c>
      <c r="N19" s="59">
        <f t="shared" si="3"/>
        <v>0</v>
      </c>
    </row>
    <row r="20" spans="1:14" x14ac:dyDescent="0.25">
      <c r="A20" s="35">
        <f t="shared" si="5"/>
        <v>44024</v>
      </c>
      <c r="H20" s="13" t="s">
        <v>273</v>
      </c>
      <c r="I20" s="58">
        <f t="shared" si="4"/>
        <v>3</v>
      </c>
      <c r="J20" s="58">
        <f t="shared" si="8"/>
        <v>13</v>
      </c>
      <c r="K20" s="57">
        <f t="shared" si="0"/>
        <v>0</v>
      </c>
      <c r="L20" s="13">
        <f t="shared" si="1"/>
        <v>43497</v>
      </c>
      <c r="M20" s="13">
        <f t="shared" si="2"/>
        <v>43708</v>
      </c>
      <c r="N20" s="59">
        <f t="shared" si="3"/>
        <v>0</v>
      </c>
    </row>
    <row r="21" spans="1:14" x14ac:dyDescent="0.25">
      <c r="A21" s="35">
        <f t="shared" si="5"/>
        <v>44055</v>
      </c>
      <c r="H21" s="13" t="s">
        <v>274</v>
      </c>
      <c r="I21" s="58">
        <f t="shared" si="4"/>
        <v>3</v>
      </c>
      <c r="J21" s="58">
        <f t="shared" si="8"/>
        <v>15</v>
      </c>
      <c r="K21" s="57">
        <f t="shared" si="0"/>
        <v>0</v>
      </c>
      <c r="L21" s="13">
        <f t="shared" si="1"/>
        <v>43497</v>
      </c>
      <c r="M21" s="13">
        <f t="shared" si="2"/>
        <v>43708</v>
      </c>
      <c r="N21" s="59">
        <f t="shared" si="3"/>
        <v>0</v>
      </c>
    </row>
    <row r="22" spans="1:14" x14ac:dyDescent="0.25">
      <c r="A22" s="35">
        <f t="shared" si="5"/>
        <v>44086</v>
      </c>
      <c r="H22" s="13" t="s">
        <v>275</v>
      </c>
      <c r="I22" s="58">
        <f t="shared" si="4"/>
        <v>3</v>
      </c>
      <c r="J22" s="58">
        <f t="shared" si="8"/>
        <v>17</v>
      </c>
      <c r="K22" s="57">
        <f t="shared" si="0"/>
        <v>0</v>
      </c>
      <c r="L22" s="13">
        <f t="shared" si="1"/>
        <v>43497</v>
      </c>
      <c r="M22" s="13">
        <f t="shared" si="2"/>
        <v>43708</v>
      </c>
      <c r="N22" s="59">
        <f t="shared" si="3"/>
        <v>0</v>
      </c>
    </row>
    <row r="23" spans="1:14" x14ac:dyDescent="0.25">
      <c r="A23" s="35">
        <f t="shared" si="5"/>
        <v>44117</v>
      </c>
      <c r="H23" s="13" t="s">
        <v>276</v>
      </c>
      <c r="I23" s="58">
        <f>I22+1</f>
        <v>4</v>
      </c>
      <c r="J23" s="58">
        <f>J16</f>
        <v>5</v>
      </c>
      <c r="K23" s="57" t="str">
        <f t="shared" si="0"/>
        <v>Fulano da Silva</v>
      </c>
      <c r="L23" s="13">
        <f t="shared" si="1"/>
        <v>0</v>
      </c>
      <c r="M23" s="13">
        <f t="shared" si="2"/>
        <v>0</v>
      </c>
      <c r="N23" s="59">
        <f t="shared" si="3"/>
        <v>12345</v>
      </c>
    </row>
    <row r="24" spans="1:14" x14ac:dyDescent="0.25">
      <c r="A24" s="35">
        <f t="shared" si="5"/>
        <v>44148</v>
      </c>
      <c r="H24" s="13" t="s">
        <v>277</v>
      </c>
      <c r="I24" s="58">
        <f t="shared" si="4"/>
        <v>4</v>
      </c>
      <c r="J24" s="58">
        <f>J23+2</f>
        <v>7</v>
      </c>
      <c r="K24" s="57">
        <f t="shared" si="0"/>
        <v>0</v>
      </c>
      <c r="L24" s="13">
        <f t="shared" si="1"/>
        <v>0</v>
      </c>
      <c r="M24" s="13">
        <f t="shared" si="2"/>
        <v>0</v>
      </c>
      <c r="N24" s="59">
        <f t="shared" si="3"/>
        <v>0</v>
      </c>
    </row>
    <row r="25" spans="1:14" x14ac:dyDescent="0.25">
      <c r="A25" s="35">
        <f t="shared" si="5"/>
        <v>44179</v>
      </c>
      <c r="H25" s="13" t="s">
        <v>278</v>
      </c>
      <c r="I25" s="58">
        <f t="shared" si="4"/>
        <v>4</v>
      </c>
      <c r="J25" s="58">
        <f t="shared" ref="J25:J29" si="9">J24+2</f>
        <v>9</v>
      </c>
      <c r="K25" s="57">
        <f t="shared" si="0"/>
        <v>0</v>
      </c>
      <c r="L25" s="13">
        <f t="shared" si="1"/>
        <v>0</v>
      </c>
      <c r="M25" s="13">
        <f t="shared" si="2"/>
        <v>0</v>
      </c>
      <c r="N25" s="59">
        <f t="shared" si="3"/>
        <v>0</v>
      </c>
    </row>
    <row r="26" spans="1:14" x14ac:dyDescent="0.25">
      <c r="A26" s="35">
        <f t="shared" si="5"/>
        <v>44210</v>
      </c>
      <c r="H26" s="13" t="s">
        <v>279</v>
      </c>
      <c r="I26" s="58">
        <f t="shared" si="4"/>
        <v>4</v>
      </c>
      <c r="J26" s="58">
        <f t="shared" si="9"/>
        <v>11</v>
      </c>
      <c r="K26" s="57">
        <f t="shared" si="0"/>
        <v>0</v>
      </c>
      <c r="L26" s="13">
        <f t="shared" si="1"/>
        <v>0</v>
      </c>
      <c r="M26" s="13">
        <f t="shared" si="2"/>
        <v>0</v>
      </c>
      <c r="N26" s="59">
        <f t="shared" si="3"/>
        <v>0</v>
      </c>
    </row>
    <row r="27" spans="1:14" x14ac:dyDescent="0.25">
      <c r="A27" s="35">
        <f t="shared" si="5"/>
        <v>44241</v>
      </c>
      <c r="H27" s="13" t="s">
        <v>280</v>
      </c>
      <c r="I27" s="58">
        <f t="shared" si="4"/>
        <v>4</v>
      </c>
      <c r="J27" s="58">
        <f t="shared" si="9"/>
        <v>13</v>
      </c>
      <c r="K27" s="57">
        <f t="shared" si="0"/>
        <v>0</v>
      </c>
      <c r="L27" s="13">
        <f t="shared" si="1"/>
        <v>0</v>
      </c>
      <c r="M27" s="13">
        <f t="shared" si="2"/>
        <v>0</v>
      </c>
      <c r="N27" s="59">
        <f t="shared" si="3"/>
        <v>0</v>
      </c>
    </row>
    <row r="28" spans="1:14" x14ac:dyDescent="0.25">
      <c r="A28" s="35">
        <f t="shared" si="5"/>
        <v>44272</v>
      </c>
      <c r="H28" s="13" t="s">
        <v>281</v>
      </c>
      <c r="I28" s="58">
        <f t="shared" si="4"/>
        <v>4</v>
      </c>
      <c r="J28" s="58">
        <f t="shared" si="9"/>
        <v>15</v>
      </c>
      <c r="K28" s="57">
        <f t="shared" si="0"/>
        <v>0</v>
      </c>
      <c r="L28" s="13">
        <f t="shared" si="1"/>
        <v>0</v>
      </c>
      <c r="M28" s="13">
        <f t="shared" si="2"/>
        <v>0</v>
      </c>
      <c r="N28" s="59">
        <f t="shared" si="3"/>
        <v>0</v>
      </c>
    </row>
    <row r="29" spans="1:14" x14ac:dyDescent="0.25">
      <c r="A29" s="35">
        <f t="shared" si="5"/>
        <v>44303</v>
      </c>
      <c r="H29" s="13" t="s">
        <v>282</v>
      </c>
      <c r="I29" s="58">
        <f t="shared" si="4"/>
        <v>4</v>
      </c>
      <c r="J29" s="58">
        <f t="shared" si="9"/>
        <v>17</v>
      </c>
      <c r="K29" s="57">
        <f t="shared" si="0"/>
        <v>0</v>
      </c>
      <c r="L29" s="13">
        <f t="shared" si="1"/>
        <v>0</v>
      </c>
      <c r="M29" s="13">
        <f t="shared" si="2"/>
        <v>0</v>
      </c>
      <c r="N29" s="59">
        <f t="shared" si="3"/>
        <v>0</v>
      </c>
    </row>
    <row r="30" spans="1:14" x14ac:dyDescent="0.25">
      <c r="A30" s="35">
        <f t="shared" si="5"/>
        <v>44334</v>
      </c>
      <c r="H30" s="13" t="s">
        <v>283</v>
      </c>
      <c r="I30" s="58">
        <f>I29+1</f>
        <v>5</v>
      </c>
      <c r="J30" s="58">
        <f>J23</f>
        <v>5</v>
      </c>
      <c r="K30" s="57" t="str">
        <f t="shared" si="0"/>
        <v>Fulano da Silva</v>
      </c>
      <c r="L30" s="13">
        <f t="shared" si="1"/>
        <v>0</v>
      </c>
      <c r="M30" s="13">
        <f t="shared" si="2"/>
        <v>0</v>
      </c>
      <c r="N30" s="59">
        <f t="shared" si="3"/>
        <v>12345</v>
      </c>
    </row>
    <row r="31" spans="1:14" x14ac:dyDescent="0.25">
      <c r="A31" s="35">
        <f t="shared" si="5"/>
        <v>44365</v>
      </c>
      <c r="H31" s="13" t="s">
        <v>284</v>
      </c>
      <c r="I31" s="58">
        <f t="shared" si="4"/>
        <v>5</v>
      </c>
      <c r="J31" s="58">
        <f>J30+2</f>
        <v>7</v>
      </c>
      <c r="K31" s="57">
        <f t="shared" si="0"/>
        <v>0</v>
      </c>
      <c r="L31" s="13">
        <f t="shared" si="1"/>
        <v>0</v>
      </c>
      <c r="M31" s="13">
        <f t="shared" si="2"/>
        <v>0</v>
      </c>
      <c r="N31" s="59">
        <f t="shared" si="3"/>
        <v>0</v>
      </c>
    </row>
    <row r="32" spans="1:14" x14ac:dyDescent="0.25">
      <c r="A32" s="35">
        <f t="shared" si="5"/>
        <v>44396</v>
      </c>
      <c r="H32" s="13" t="s">
        <v>285</v>
      </c>
      <c r="I32" s="58">
        <f t="shared" si="4"/>
        <v>5</v>
      </c>
      <c r="J32" s="58">
        <f t="shared" ref="J32:J36" si="10">J31+2</f>
        <v>9</v>
      </c>
      <c r="K32" s="57">
        <f t="shared" si="0"/>
        <v>0</v>
      </c>
      <c r="L32" s="13">
        <f t="shared" si="1"/>
        <v>0</v>
      </c>
      <c r="M32" s="13">
        <f t="shared" si="2"/>
        <v>0</v>
      </c>
      <c r="N32" s="59">
        <f t="shared" si="3"/>
        <v>0</v>
      </c>
    </row>
    <row r="33" spans="1:14" x14ac:dyDescent="0.25">
      <c r="A33" s="35">
        <f t="shared" si="5"/>
        <v>44427</v>
      </c>
      <c r="H33" s="13" t="s">
        <v>286</v>
      </c>
      <c r="I33" s="58">
        <f t="shared" si="4"/>
        <v>5</v>
      </c>
      <c r="J33" s="58">
        <f t="shared" si="10"/>
        <v>11</v>
      </c>
      <c r="K33" s="57">
        <f t="shared" si="0"/>
        <v>0</v>
      </c>
      <c r="L33" s="13">
        <f t="shared" si="1"/>
        <v>0</v>
      </c>
      <c r="M33" s="13">
        <f t="shared" si="2"/>
        <v>0</v>
      </c>
      <c r="N33" s="59">
        <f t="shared" si="3"/>
        <v>0</v>
      </c>
    </row>
    <row r="34" spans="1:14" x14ac:dyDescent="0.25">
      <c r="A34" s="35">
        <f t="shared" si="5"/>
        <v>44458</v>
      </c>
      <c r="H34" s="13" t="s">
        <v>287</v>
      </c>
      <c r="I34" s="58">
        <f t="shared" si="4"/>
        <v>5</v>
      </c>
      <c r="J34" s="58">
        <f t="shared" si="10"/>
        <v>13</v>
      </c>
      <c r="K34" s="57">
        <f t="shared" ref="K34:K65" si="11">INDEX(projetos,I34,J34)</f>
        <v>0</v>
      </c>
      <c r="L34" s="13">
        <f t="shared" ref="L34:L65" si="12">INDEX(projetos,I34,3)</f>
        <v>0</v>
      </c>
      <c r="M34" s="13">
        <f t="shared" ref="M34:M65" si="13">INDEX(projetos,I34,4)</f>
        <v>0</v>
      </c>
      <c r="N34" s="59">
        <f t="shared" ref="N34:N65" si="14">INDEX(projetos,I34,J34+1)</f>
        <v>0</v>
      </c>
    </row>
    <row r="35" spans="1:14" x14ac:dyDescent="0.25">
      <c r="A35" s="35">
        <f t="shared" si="5"/>
        <v>44489</v>
      </c>
      <c r="H35" s="13" t="s">
        <v>288</v>
      </c>
      <c r="I35" s="58">
        <f t="shared" si="4"/>
        <v>5</v>
      </c>
      <c r="J35" s="58">
        <f t="shared" si="10"/>
        <v>15</v>
      </c>
      <c r="K35" s="57">
        <f t="shared" si="11"/>
        <v>0</v>
      </c>
      <c r="L35" s="13">
        <f t="shared" si="12"/>
        <v>0</v>
      </c>
      <c r="M35" s="13">
        <f t="shared" si="13"/>
        <v>0</v>
      </c>
      <c r="N35" s="59">
        <f t="shared" si="14"/>
        <v>0</v>
      </c>
    </row>
    <row r="36" spans="1:14" x14ac:dyDescent="0.25">
      <c r="A36" s="35">
        <f t="shared" si="5"/>
        <v>44520</v>
      </c>
      <c r="H36" s="13" t="s">
        <v>289</v>
      </c>
      <c r="I36" s="58">
        <f t="shared" si="4"/>
        <v>5</v>
      </c>
      <c r="J36" s="58">
        <f t="shared" si="10"/>
        <v>17</v>
      </c>
      <c r="K36" s="57">
        <f t="shared" si="11"/>
        <v>0</v>
      </c>
      <c r="L36" s="13">
        <f t="shared" si="12"/>
        <v>0</v>
      </c>
      <c r="M36" s="13">
        <f t="shared" si="13"/>
        <v>0</v>
      </c>
      <c r="N36" s="59">
        <f t="shared" si="14"/>
        <v>0</v>
      </c>
    </row>
    <row r="37" spans="1:14" x14ac:dyDescent="0.25">
      <c r="A37" s="35">
        <f t="shared" si="5"/>
        <v>44551</v>
      </c>
      <c r="H37" s="13" t="s">
        <v>290</v>
      </c>
      <c r="I37" s="58">
        <f>I36+1</f>
        <v>6</v>
      </c>
      <c r="J37" s="58">
        <f>J30</f>
        <v>5</v>
      </c>
      <c r="K37" s="57" t="str">
        <f t="shared" si="11"/>
        <v>Fulano da Silva</v>
      </c>
      <c r="L37" s="13">
        <f t="shared" si="12"/>
        <v>0</v>
      </c>
      <c r="M37" s="13">
        <f t="shared" si="13"/>
        <v>0</v>
      </c>
      <c r="N37" s="59">
        <f t="shared" si="14"/>
        <v>12345</v>
      </c>
    </row>
    <row r="38" spans="1:14" x14ac:dyDescent="0.25">
      <c r="A38" s="35">
        <f t="shared" si="5"/>
        <v>44582</v>
      </c>
      <c r="H38" s="13" t="s">
        <v>291</v>
      </c>
      <c r="I38" s="58">
        <f t="shared" si="4"/>
        <v>6</v>
      </c>
      <c r="J38" s="58">
        <f>J37+2</f>
        <v>7</v>
      </c>
      <c r="K38" s="57">
        <f t="shared" si="11"/>
        <v>0</v>
      </c>
      <c r="L38" s="13">
        <f t="shared" si="12"/>
        <v>0</v>
      </c>
      <c r="M38" s="13">
        <f t="shared" si="13"/>
        <v>0</v>
      </c>
      <c r="N38" s="59">
        <f t="shared" si="14"/>
        <v>0</v>
      </c>
    </row>
    <row r="39" spans="1:14" x14ac:dyDescent="0.25">
      <c r="A39" s="35">
        <f t="shared" si="5"/>
        <v>44613</v>
      </c>
      <c r="H39" s="13" t="s">
        <v>292</v>
      </c>
      <c r="I39" s="58">
        <f t="shared" si="4"/>
        <v>6</v>
      </c>
      <c r="J39" s="58">
        <f t="shared" ref="J39:J43" si="15">J38+2</f>
        <v>9</v>
      </c>
      <c r="K39" s="57">
        <f t="shared" si="11"/>
        <v>0</v>
      </c>
      <c r="L39" s="13">
        <f t="shared" si="12"/>
        <v>0</v>
      </c>
      <c r="M39" s="13">
        <f t="shared" si="13"/>
        <v>0</v>
      </c>
      <c r="N39" s="59">
        <f t="shared" si="14"/>
        <v>0</v>
      </c>
    </row>
    <row r="40" spans="1:14" x14ac:dyDescent="0.25">
      <c r="A40" s="35">
        <f t="shared" si="5"/>
        <v>44644</v>
      </c>
      <c r="H40" s="13" t="s">
        <v>293</v>
      </c>
      <c r="I40" s="58">
        <f t="shared" si="4"/>
        <v>6</v>
      </c>
      <c r="J40" s="58">
        <f t="shared" si="15"/>
        <v>11</v>
      </c>
      <c r="K40" s="57">
        <f t="shared" si="11"/>
        <v>0</v>
      </c>
      <c r="L40" s="13">
        <f t="shared" si="12"/>
        <v>0</v>
      </c>
      <c r="M40" s="13">
        <f t="shared" si="13"/>
        <v>0</v>
      </c>
      <c r="N40" s="59">
        <f t="shared" si="14"/>
        <v>0</v>
      </c>
    </row>
    <row r="41" spans="1:14" x14ac:dyDescent="0.25">
      <c r="A41" s="35">
        <f t="shared" si="5"/>
        <v>44675</v>
      </c>
      <c r="H41" s="13" t="s">
        <v>294</v>
      </c>
      <c r="I41" s="58">
        <f t="shared" si="4"/>
        <v>6</v>
      </c>
      <c r="J41" s="58">
        <f t="shared" si="15"/>
        <v>13</v>
      </c>
      <c r="K41" s="57">
        <f t="shared" si="11"/>
        <v>0</v>
      </c>
      <c r="L41" s="13">
        <f t="shared" si="12"/>
        <v>0</v>
      </c>
      <c r="M41" s="13">
        <f t="shared" si="13"/>
        <v>0</v>
      </c>
      <c r="N41" s="59">
        <f t="shared" si="14"/>
        <v>0</v>
      </c>
    </row>
    <row r="42" spans="1:14" x14ac:dyDescent="0.25">
      <c r="A42" s="35">
        <f t="shared" ref="A42:A73" si="16">A41+31</f>
        <v>44706</v>
      </c>
      <c r="H42" s="13" t="s">
        <v>295</v>
      </c>
      <c r="I42" s="58">
        <f t="shared" si="4"/>
        <v>6</v>
      </c>
      <c r="J42" s="58">
        <f t="shared" si="15"/>
        <v>15</v>
      </c>
      <c r="K42" s="57">
        <f t="shared" si="11"/>
        <v>0</v>
      </c>
      <c r="L42" s="13">
        <f t="shared" si="12"/>
        <v>0</v>
      </c>
      <c r="M42" s="13">
        <f t="shared" si="13"/>
        <v>0</v>
      </c>
      <c r="N42" s="59">
        <f t="shared" si="14"/>
        <v>0</v>
      </c>
    </row>
    <row r="43" spans="1:14" x14ac:dyDescent="0.25">
      <c r="A43" s="35">
        <f t="shared" si="16"/>
        <v>44737</v>
      </c>
      <c r="H43" s="13" t="s">
        <v>296</v>
      </c>
      <c r="I43" s="58">
        <f t="shared" si="4"/>
        <v>6</v>
      </c>
      <c r="J43" s="58">
        <f t="shared" si="15"/>
        <v>17</v>
      </c>
      <c r="K43" s="57">
        <f t="shared" si="11"/>
        <v>0</v>
      </c>
      <c r="L43" s="13">
        <f t="shared" si="12"/>
        <v>0</v>
      </c>
      <c r="M43" s="13">
        <f t="shared" si="13"/>
        <v>0</v>
      </c>
      <c r="N43" s="59">
        <f t="shared" si="14"/>
        <v>0</v>
      </c>
    </row>
    <row r="44" spans="1:14" x14ac:dyDescent="0.25">
      <c r="A44" s="35">
        <f t="shared" si="16"/>
        <v>44768</v>
      </c>
      <c r="H44" s="13" t="s">
        <v>297</v>
      </c>
      <c r="I44" s="58">
        <f>I43+1</f>
        <v>7</v>
      </c>
      <c r="J44" s="58">
        <f>J37</f>
        <v>5</v>
      </c>
      <c r="K44" s="57" t="str">
        <f t="shared" si="11"/>
        <v>Fulano da Silva</v>
      </c>
      <c r="L44" s="13">
        <f t="shared" si="12"/>
        <v>0</v>
      </c>
      <c r="M44" s="13">
        <f t="shared" si="13"/>
        <v>0</v>
      </c>
      <c r="N44" s="59">
        <f t="shared" si="14"/>
        <v>12345</v>
      </c>
    </row>
    <row r="45" spans="1:14" x14ac:dyDescent="0.25">
      <c r="A45" s="35">
        <f t="shared" si="16"/>
        <v>44799</v>
      </c>
      <c r="H45" s="13" t="s">
        <v>298</v>
      </c>
      <c r="I45" s="58">
        <f t="shared" si="4"/>
        <v>7</v>
      </c>
      <c r="J45" s="58">
        <f>J44+2</f>
        <v>7</v>
      </c>
      <c r="K45" s="57">
        <f t="shared" si="11"/>
        <v>0</v>
      </c>
      <c r="L45" s="13">
        <f t="shared" si="12"/>
        <v>0</v>
      </c>
      <c r="M45" s="13">
        <f t="shared" si="13"/>
        <v>0</v>
      </c>
      <c r="N45" s="59">
        <f t="shared" si="14"/>
        <v>0</v>
      </c>
    </row>
    <row r="46" spans="1:14" x14ac:dyDescent="0.25">
      <c r="A46" s="35">
        <f t="shared" si="16"/>
        <v>44830</v>
      </c>
      <c r="H46" s="13" t="s">
        <v>299</v>
      </c>
      <c r="I46" s="58">
        <f t="shared" si="4"/>
        <v>7</v>
      </c>
      <c r="J46" s="58">
        <f t="shared" ref="J46:J50" si="17">J45+2</f>
        <v>9</v>
      </c>
      <c r="K46" s="57">
        <f t="shared" si="11"/>
        <v>0</v>
      </c>
      <c r="L46" s="13">
        <f t="shared" si="12"/>
        <v>0</v>
      </c>
      <c r="M46" s="13">
        <f t="shared" si="13"/>
        <v>0</v>
      </c>
      <c r="N46" s="59">
        <f t="shared" si="14"/>
        <v>0</v>
      </c>
    </row>
    <row r="47" spans="1:14" x14ac:dyDescent="0.25">
      <c r="A47" s="35">
        <f t="shared" si="16"/>
        <v>44861</v>
      </c>
      <c r="H47" s="13" t="s">
        <v>300</v>
      </c>
      <c r="I47" s="58">
        <f t="shared" si="4"/>
        <v>7</v>
      </c>
      <c r="J47" s="58">
        <f t="shared" si="17"/>
        <v>11</v>
      </c>
      <c r="K47" s="57">
        <f t="shared" si="11"/>
        <v>0</v>
      </c>
      <c r="L47" s="13">
        <f t="shared" si="12"/>
        <v>0</v>
      </c>
      <c r="M47" s="13">
        <f t="shared" si="13"/>
        <v>0</v>
      </c>
      <c r="N47" s="59">
        <f t="shared" si="14"/>
        <v>0</v>
      </c>
    </row>
    <row r="48" spans="1:14" x14ac:dyDescent="0.25">
      <c r="A48" s="35">
        <f t="shared" si="16"/>
        <v>44892</v>
      </c>
      <c r="H48" s="13" t="s">
        <v>301</v>
      </c>
      <c r="I48" s="58">
        <f t="shared" si="4"/>
        <v>7</v>
      </c>
      <c r="J48" s="58">
        <f t="shared" si="17"/>
        <v>13</v>
      </c>
      <c r="K48" s="57">
        <f t="shared" si="11"/>
        <v>0</v>
      </c>
      <c r="L48" s="13">
        <f t="shared" si="12"/>
        <v>0</v>
      </c>
      <c r="M48" s="13">
        <f t="shared" si="13"/>
        <v>0</v>
      </c>
      <c r="N48" s="59">
        <f t="shared" si="14"/>
        <v>0</v>
      </c>
    </row>
    <row r="49" spans="1:14" x14ac:dyDescent="0.25">
      <c r="A49" s="35">
        <f t="shared" si="16"/>
        <v>44923</v>
      </c>
      <c r="H49" s="13" t="s">
        <v>302</v>
      </c>
      <c r="I49" s="58">
        <f t="shared" si="4"/>
        <v>7</v>
      </c>
      <c r="J49" s="58">
        <f t="shared" si="17"/>
        <v>15</v>
      </c>
      <c r="K49" s="57">
        <f t="shared" si="11"/>
        <v>0</v>
      </c>
      <c r="L49" s="13">
        <f t="shared" si="12"/>
        <v>0</v>
      </c>
      <c r="M49" s="13">
        <f t="shared" si="13"/>
        <v>0</v>
      </c>
      <c r="N49" s="59">
        <f t="shared" si="14"/>
        <v>0</v>
      </c>
    </row>
    <row r="50" spans="1:14" x14ac:dyDescent="0.25">
      <c r="A50" s="35">
        <f t="shared" si="16"/>
        <v>44954</v>
      </c>
      <c r="H50" s="13" t="s">
        <v>303</v>
      </c>
      <c r="I50" s="58">
        <f t="shared" si="4"/>
        <v>7</v>
      </c>
      <c r="J50" s="58">
        <f t="shared" si="17"/>
        <v>17</v>
      </c>
      <c r="K50" s="57">
        <f t="shared" si="11"/>
        <v>0</v>
      </c>
      <c r="L50" s="13">
        <f t="shared" si="12"/>
        <v>0</v>
      </c>
      <c r="M50" s="13">
        <f t="shared" si="13"/>
        <v>0</v>
      </c>
      <c r="N50" s="59">
        <f t="shared" si="14"/>
        <v>0</v>
      </c>
    </row>
    <row r="51" spans="1:14" x14ac:dyDescent="0.25">
      <c r="A51" s="35">
        <f t="shared" si="16"/>
        <v>44985</v>
      </c>
      <c r="H51" s="13" t="s">
        <v>304</v>
      </c>
      <c r="I51" s="58">
        <f>I50+1</f>
        <v>8</v>
      </c>
      <c r="J51" s="58">
        <f>J44</f>
        <v>5</v>
      </c>
      <c r="K51" s="57" t="str">
        <f t="shared" si="11"/>
        <v>Fulano da Silva</v>
      </c>
      <c r="L51" s="13">
        <f t="shared" si="12"/>
        <v>0</v>
      </c>
      <c r="M51" s="13">
        <f t="shared" si="13"/>
        <v>0</v>
      </c>
      <c r="N51" s="59">
        <f t="shared" si="14"/>
        <v>12345</v>
      </c>
    </row>
    <row r="52" spans="1:14" x14ac:dyDescent="0.25">
      <c r="A52" s="35">
        <f t="shared" si="16"/>
        <v>45016</v>
      </c>
      <c r="H52" s="13" t="s">
        <v>305</v>
      </c>
      <c r="I52" s="58">
        <f t="shared" si="4"/>
        <v>8</v>
      </c>
      <c r="J52" s="58">
        <f>J51+2</f>
        <v>7</v>
      </c>
      <c r="K52" s="57">
        <f t="shared" si="11"/>
        <v>0</v>
      </c>
      <c r="L52" s="13">
        <f t="shared" si="12"/>
        <v>0</v>
      </c>
      <c r="M52" s="13">
        <f t="shared" si="13"/>
        <v>0</v>
      </c>
      <c r="N52" s="59">
        <f t="shared" si="14"/>
        <v>0</v>
      </c>
    </row>
    <row r="53" spans="1:14" x14ac:dyDescent="0.25">
      <c r="A53" s="35">
        <f t="shared" si="16"/>
        <v>45047</v>
      </c>
      <c r="H53" s="13" t="s">
        <v>306</v>
      </c>
      <c r="I53" s="58">
        <f t="shared" si="4"/>
        <v>8</v>
      </c>
      <c r="J53" s="58">
        <f t="shared" ref="J53:J57" si="18">J52+2</f>
        <v>9</v>
      </c>
      <c r="K53" s="57">
        <f t="shared" si="11"/>
        <v>0</v>
      </c>
      <c r="L53" s="13">
        <f t="shared" si="12"/>
        <v>0</v>
      </c>
      <c r="M53" s="13">
        <f t="shared" si="13"/>
        <v>0</v>
      </c>
      <c r="N53" s="59">
        <f t="shared" si="14"/>
        <v>0</v>
      </c>
    </row>
    <row r="54" spans="1:14" x14ac:dyDescent="0.25">
      <c r="A54" s="35">
        <f t="shared" si="16"/>
        <v>45078</v>
      </c>
      <c r="H54" s="13" t="s">
        <v>307</v>
      </c>
      <c r="I54" s="58">
        <f t="shared" si="4"/>
        <v>8</v>
      </c>
      <c r="J54" s="58">
        <f t="shared" si="18"/>
        <v>11</v>
      </c>
      <c r="K54" s="57">
        <f t="shared" si="11"/>
        <v>0</v>
      </c>
      <c r="L54" s="13">
        <f t="shared" si="12"/>
        <v>0</v>
      </c>
      <c r="M54" s="13">
        <f t="shared" si="13"/>
        <v>0</v>
      </c>
      <c r="N54" s="59">
        <f t="shared" si="14"/>
        <v>0</v>
      </c>
    </row>
    <row r="55" spans="1:14" x14ac:dyDescent="0.25">
      <c r="A55" s="35">
        <f t="shared" si="16"/>
        <v>45109</v>
      </c>
      <c r="H55" s="13" t="s">
        <v>308</v>
      </c>
      <c r="I55" s="58">
        <f t="shared" si="4"/>
        <v>8</v>
      </c>
      <c r="J55" s="58">
        <f t="shared" si="18"/>
        <v>13</v>
      </c>
      <c r="K55" s="57">
        <f t="shared" si="11"/>
        <v>0</v>
      </c>
      <c r="L55" s="13">
        <f t="shared" si="12"/>
        <v>0</v>
      </c>
      <c r="M55" s="13">
        <f t="shared" si="13"/>
        <v>0</v>
      </c>
      <c r="N55" s="59">
        <f t="shared" si="14"/>
        <v>0</v>
      </c>
    </row>
    <row r="56" spans="1:14" x14ac:dyDescent="0.25">
      <c r="A56" s="35">
        <f t="shared" si="16"/>
        <v>45140</v>
      </c>
      <c r="H56" s="13" t="s">
        <v>309</v>
      </c>
      <c r="I56" s="58">
        <f t="shared" si="4"/>
        <v>8</v>
      </c>
      <c r="J56" s="58">
        <f t="shared" si="18"/>
        <v>15</v>
      </c>
      <c r="K56" s="57">
        <f t="shared" si="11"/>
        <v>0</v>
      </c>
      <c r="L56" s="13">
        <f t="shared" si="12"/>
        <v>0</v>
      </c>
      <c r="M56" s="13">
        <f t="shared" si="13"/>
        <v>0</v>
      </c>
      <c r="N56" s="59">
        <f t="shared" si="14"/>
        <v>0</v>
      </c>
    </row>
    <row r="57" spans="1:14" x14ac:dyDescent="0.25">
      <c r="A57" s="35">
        <f t="shared" si="16"/>
        <v>45171</v>
      </c>
      <c r="H57" s="13" t="s">
        <v>310</v>
      </c>
      <c r="I57" s="58">
        <f t="shared" si="4"/>
        <v>8</v>
      </c>
      <c r="J57" s="58">
        <f t="shared" si="18"/>
        <v>17</v>
      </c>
      <c r="K57" s="57">
        <f t="shared" si="11"/>
        <v>0</v>
      </c>
      <c r="L57" s="13">
        <f t="shared" si="12"/>
        <v>0</v>
      </c>
      <c r="M57" s="13">
        <f t="shared" si="13"/>
        <v>0</v>
      </c>
      <c r="N57" s="59">
        <f t="shared" si="14"/>
        <v>0</v>
      </c>
    </row>
    <row r="58" spans="1:14" x14ac:dyDescent="0.25">
      <c r="A58" s="35">
        <f t="shared" si="16"/>
        <v>45202</v>
      </c>
      <c r="H58" s="13" t="s">
        <v>311</v>
      </c>
      <c r="I58" s="58">
        <f>I57+1</f>
        <v>9</v>
      </c>
      <c r="J58" s="58">
        <f>J51</f>
        <v>5</v>
      </c>
      <c r="K58" s="57" t="str">
        <f t="shared" si="11"/>
        <v>Fulano da Silva</v>
      </c>
      <c r="L58" s="13">
        <f t="shared" si="12"/>
        <v>0</v>
      </c>
      <c r="M58" s="13">
        <f t="shared" si="13"/>
        <v>0</v>
      </c>
      <c r="N58" s="59">
        <f t="shared" si="14"/>
        <v>12345</v>
      </c>
    </row>
    <row r="59" spans="1:14" x14ac:dyDescent="0.25">
      <c r="A59" s="35">
        <f t="shared" si="16"/>
        <v>45233</v>
      </c>
      <c r="H59" s="13" t="s">
        <v>312</v>
      </c>
      <c r="I59" s="58">
        <f t="shared" si="4"/>
        <v>9</v>
      </c>
      <c r="J59" s="58">
        <f>J58+2</f>
        <v>7</v>
      </c>
      <c r="K59" s="57">
        <f t="shared" si="11"/>
        <v>0</v>
      </c>
      <c r="L59" s="13">
        <f t="shared" si="12"/>
        <v>0</v>
      </c>
      <c r="M59" s="13">
        <f t="shared" si="13"/>
        <v>0</v>
      </c>
      <c r="N59" s="59">
        <f t="shared" si="14"/>
        <v>0</v>
      </c>
    </row>
    <row r="60" spans="1:14" x14ac:dyDescent="0.25">
      <c r="A60" s="35">
        <f t="shared" si="16"/>
        <v>45264</v>
      </c>
      <c r="H60" s="13" t="s">
        <v>313</v>
      </c>
      <c r="I60" s="58">
        <f t="shared" si="4"/>
        <v>9</v>
      </c>
      <c r="J60" s="58">
        <f t="shared" ref="J60:J64" si="19">J59+2</f>
        <v>9</v>
      </c>
      <c r="K60" s="57">
        <f t="shared" si="11"/>
        <v>0</v>
      </c>
      <c r="L60" s="13">
        <f t="shared" si="12"/>
        <v>0</v>
      </c>
      <c r="M60" s="13">
        <f t="shared" si="13"/>
        <v>0</v>
      </c>
      <c r="N60" s="59">
        <f t="shared" si="14"/>
        <v>0</v>
      </c>
    </row>
    <row r="61" spans="1:14" x14ac:dyDescent="0.25">
      <c r="A61" s="35">
        <f t="shared" si="16"/>
        <v>45295</v>
      </c>
      <c r="H61" s="13" t="s">
        <v>314</v>
      </c>
      <c r="I61" s="58">
        <f t="shared" ref="I61:I124" si="20">I60</f>
        <v>9</v>
      </c>
      <c r="J61" s="58">
        <f t="shared" si="19"/>
        <v>11</v>
      </c>
      <c r="K61" s="57">
        <f t="shared" si="11"/>
        <v>0</v>
      </c>
      <c r="L61" s="13">
        <f t="shared" si="12"/>
        <v>0</v>
      </c>
      <c r="M61" s="13">
        <f t="shared" si="13"/>
        <v>0</v>
      </c>
      <c r="N61" s="59">
        <f t="shared" si="14"/>
        <v>0</v>
      </c>
    </row>
    <row r="62" spans="1:14" x14ac:dyDescent="0.25">
      <c r="A62" s="35">
        <f t="shared" si="16"/>
        <v>45326</v>
      </c>
      <c r="H62" s="13" t="s">
        <v>315</v>
      </c>
      <c r="I62" s="58">
        <f t="shared" si="20"/>
        <v>9</v>
      </c>
      <c r="J62" s="58">
        <f t="shared" si="19"/>
        <v>13</v>
      </c>
      <c r="K62" s="57">
        <f t="shared" si="11"/>
        <v>0</v>
      </c>
      <c r="L62" s="13">
        <f t="shared" si="12"/>
        <v>0</v>
      </c>
      <c r="M62" s="13">
        <f t="shared" si="13"/>
        <v>0</v>
      </c>
      <c r="N62" s="59">
        <f t="shared" si="14"/>
        <v>0</v>
      </c>
    </row>
    <row r="63" spans="1:14" x14ac:dyDescent="0.25">
      <c r="A63" s="35">
        <f t="shared" si="16"/>
        <v>45357</v>
      </c>
      <c r="H63" s="13" t="s">
        <v>316</v>
      </c>
      <c r="I63" s="58">
        <f t="shared" si="20"/>
        <v>9</v>
      </c>
      <c r="J63" s="58">
        <f t="shared" si="19"/>
        <v>15</v>
      </c>
      <c r="K63" s="57">
        <f t="shared" si="11"/>
        <v>0</v>
      </c>
      <c r="L63" s="13">
        <f t="shared" si="12"/>
        <v>0</v>
      </c>
      <c r="M63" s="13">
        <f t="shared" si="13"/>
        <v>0</v>
      </c>
      <c r="N63" s="59">
        <f t="shared" si="14"/>
        <v>0</v>
      </c>
    </row>
    <row r="64" spans="1:14" x14ac:dyDescent="0.25">
      <c r="A64" s="35">
        <f t="shared" si="16"/>
        <v>45388</v>
      </c>
      <c r="H64" s="13" t="s">
        <v>317</v>
      </c>
      <c r="I64" s="58">
        <f t="shared" si="20"/>
        <v>9</v>
      </c>
      <c r="J64" s="58">
        <f t="shared" si="19"/>
        <v>17</v>
      </c>
      <c r="K64" s="57">
        <f t="shared" si="11"/>
        <v>0</v>
      </c>
      <c r="L64" s="13">
        <f t="shared" si="12"/>
        <v>0</v>
      </c>
      <c r="M64" s="13">
        <f t="shared" si="13"/>
        <v>0</v>
      </c>
      <c r="N64" s="59">
        <f t="shared" si="14"/>
        <v>0</v>
      </c>
    </row>
    <row r="65" spans="1:14" x14ac:dyDescent="0.25">
      <c r="A65" s="35">
        <f t="shared" si="16"/>
        <v>45419</v>
      </c>
      <c r="H65" s="13" t="s">
        <v>318</v>
      </c>
      <c r="I65" s="58">
        <f>I64+1</f>
        <v>10</v>
      </c>
      <c r="J65" s="58">
        <f>J58</f>
        <v>5</v>
      </c>
      <c r="K65" s="57" t="str">
        <f t="shared" si="11"/>
        <v>Fulano da Silva</v>
      </c>
      <c r="L65" s="13">
        <f t="shared" si="12"/>
        <v>0</v>
      </c>
      <c r="M65" s="13">
        <f t="shared" si="13"/>
        <v>0</v>
      </c>
      <c r="N65" s="59">
        <f t="shared" si="14"/>
        <v>12345</v>
      </c>
    </row>
    <row r="66" spans="1:14" x14ac:dyDescent="0.25">
      <c r="A66" s="35">
        <f t="shared" si="16"/>
        <v>45450</v>
      </c>
      <c r="H66" s="13" t="s">
        <v>319</v>
      </c>
      <c r="I66" s="58">
        <f t="shared" si="20"/>
        <v>10</v>
      </c>
      <c r="J66" s="58">
        <f>J65+2</f>
        <v>7</v>
      </c>
      <c r="K66" s="57">
        <f t="shared" ref="K66:K97" si="21">INDEX(projetos,I66,J66)</f>
        <v>0</v>
      </c>
      <c r="L66" s="13">
        <f t="shared" ref="L66:L97" si="22">INDEX(projetos,I66,3)</f>
        <v>0</v>
      </c>
      <c r="M66" s="13">
        <f t="shared" ref="M66:M97" si="23">INDEX(projetos,I66,4)</f>
        <v>0</v>
      </c>
      <c r="N66" s="59">
        <f t="shared" ref="N66:N97" si="24">INDEX(projetos,I66,J66+1)</f>
        <v>0</v>
      </c>
    </row>
    <row r="67" spans="1:14" x14ac:dyDescent="0.25">
      <c r="A67" s="35">
        <f t="shared" si="16"/>
        <v>45481</v>
      </c>
      <c r="H67" s="13" t="s">
        <v>320</v>
      </c>
      <c r="I67" s="58">
        <f t="shared" si="20"/>
        <v>10</v>
      </c>
      <c r="J67" s="58">
        <f t="shared" ref="J67:J71" si="25">J66+2</f>
        <v>9</v>
      </c>
      <c r="K67" s="57">
        <f t="shared" si="21"/>
        <v>0</v>
      </c>
      <c r="L67" s="13">
        <f t="shared" si="22"/>
        <v>0</v>
      </c>
      <c r="M67" s="13">
        <f t="shared" si="23"/>
        <v>0</v>
      </c>
      <c r="N67" s="59">
        <f t="shared" si="24"/>
        <v>0</v>
      </c>
    </row>
    <row r="68" spans="1:14" x14ac:dyDescent="0.25">
      <c r="A68" s="35">
        <f t="shared" si="16"/>
        <v>45512</v>
      </c>
      <c r="H68" s="13" t="s">
        <v>321</v>
      </c>
      <c r="I68" s="58">
        <f t="shared" si="20"/>
        <v>10</v>
      </c>
      <c r="J68" s="58">
        <f t="shared" si="25"/>
        <v>11</v>
      </c>
      <c r="K68" s="57">
        <f t="shared" si="21"/>
        <v>0</v>
      </c>
      <c r="L68" s="13">
        <f t="shared" si="22"/>
        <v>0</v>
      </c>
      <c r="M68" s="13">
        <f t="shared" si="23"/>
        <v>0</v>
      </c>
      <c r="N68" s="59">
        <f t="shared" si="24"/>
        <v>0</v>
      </c>
    </row>
    <row r="69" spans="1:14" x14ac:dyDescent="0.25">
      <c r="A69" s="35">
        <f t="shared" si="16"/>
        <v>45543</v>
      </c>
      <c r="H69" s="13" t="s">
        <v>322</v>
      </c>
      <c r="I69" s="58">
        <f t="shared" si="20"/>
        <v>10</v>
      </c>
      <c r="J69" s="58">
        <f t="shared" si="25"/>
        <v>13</v>
      </c>
      <c r="K69" s="57">
        <f t="shared" si="21"/>
        <v>0</v>
      </c>
      <c r="L69" s="13">
        <f t="shared" si="22"/>
        <v>0</v>
      </c>
      <c r="M69" s="13">
        <f t="shared" si="23"/>
        <v>0</v>
      </c>
      <c r="N69" s="59">
        <f t="shared" si="24"/>
        <v>0</v>
      </c>
    </row>
    <row r="70" spans="1:14" x14ac:dyDescent="0.25">
      <c r="A70" s="35">
        <f t="shared" si="16"/>
        <v>45574</v>
      </c>
      <c r="H70" s="13" t="s">
        <v>323</v>
      </c>
      <c r="I70" s="58">
        <f t="shared" si="20"/>
        <v>10</v>
      </c>
      <c r="J70" s="58">
        <f t="shared" si="25"/>
        <v>15</v>
      </c>
      <c r="K70" s="57">
        <f t="shared" si="21"/>
        <v>0</v>
      </c>
      <c r="L70" s="13">
        <f t="shared" si="22"/>
        <v>0</v>
      </c>
      <c r="M70" s="13">
        <f t="shared" si="23"/>
        <v>0</v>
      </c>
      <c r="N70" s="59">
        <f t="shared" si="24"/>
        <v>0</v>
      </c>
    </row>
    <row r="71" spans="1:14" x14ac:dyDescent="0.25">
      <c r="A71" s="35">
        <f t="shared" si="16"/>
        <v>45605</v>
      </c>
      <c r="H71" s="13" t="s">
        <v>324</v>
      </c>
      <c r="I71" s="58">
        <f t="shared" si="20"/>
        <v>10</v>
      </c>
      <c r="J71" s="58">
        <f t="shared" si="25"/>
        <v>17</v>
      </c>
      <c r="K71" s="57">
        <f t="shared" si="21"/>
        <v>0</v>
      </c>
      <c r="L71" s="13">
        <f t="shared" si="22"/>
        <v>0</v>
      </c>
      <c r="M71" s="13">
        <f t="shared" si="23"/>
        <v>0</v>
      </c>
      <c r="N71" s="59">
        <f t="shared" si="24"/>
        <v>0</v>
      </c>
    </row>
    <row r="72" spans="1:14" x14ac:dyDescent="0.25">
      <c r="A72" s="35">
        <f t="shared" si="16"/>
        <v>45636</v>
      </c>
      <c r="H72" s="13" t="s">
        <v>325</v>
      </c>
      <c r="I72" s="58">
        <f>I71+1</f>
        <v>11</v>
      </c>
      <c r="J72" s="58">
        <f>J65</f>
        <v>5</v>
      </c>
      <c r="K72" s="57" t="str">
        <f t="shared" si="21"/>
        <v>Fulano da Silva</v>
      </c>
      <c r="L72" s="13">
        <f t="shared" si="22"/>
        <v>0</v>
      </c>
      <c r="M72" s="13">
        <f t="shared" si="23"/>
        <v>0</v>
      </c>
      <c r="N72" s="59">
        <f t="shared" si="24"/>
        <v>12345</v>
      </c>
    </row>
    <row r="73" spans="1:14" x14ac:dyDescent="0.25">
      <c r="A73" s="35">
        <f t="shared" si="16"/>
        <v>45667</v>
      </c>
      <c r="H73" s="13" t="s">
        <v>326</v>
      </c>
      <c r="I73" s="58">
        <f t="shared" si="20"/>
        <v>11</v>
      </c>
      <c r="J73" s="58">
        <f>J72+2</f>
        <v>7</v>
      </c>
      <c r="K73" s="57">
        <f t="shared" si="21"/>
        <v>0</v>
      </c>
      <c r="L73" s="13">
        <f t="shared" si="22"/>
        <v>0</v>
      </c>
      <c r="M73" s="13">
        <f t="shared" si="23"/>
        <v>0</v>
      </c>
      <c r="N73" s="59">
        <f t="shared" si="24"/>
        <v>0</v>
      </c>
    </row>
    <row r="74" spans="1:14" x14ac:dyDescent="0.25">
      <c r="A74" s="35">
        <f t="shared" ref="A74:A105" si="26">A73+31</f>
        <v>45698</v>
      </c>
      <c r="H74" s="13" t="s">
        <v>327</v>
      </c>
      <c r="I74" s="58">
        <f t="shared" si="20"/>
        <v>11</v>
      </c>
      <c r="J74" s="58">
        <f t="shared" ref="J74:J78" si="27">J73+2</f>
        <v>9</v>
      </c>
      <c r="K74" s="57">
        <f t="shared" si="21"/>
        <v>0</v>
      </c>
      <c r="L74" s="13">
        <f t="shared" si="22"/>
        <v>0</v>
      </c>
      <c r="M74" s="13">
        <f t="shared" si="23"/>
        <v>0</v>
      </c>
      <c r="N74" s="59">
        <f t="shared" si="24"/>
        <v>0</v>
      </c>
    </row>
    <row r="75" spans="1:14" x14ac:dyDescent="0.25">
      <c r="A75" s="35">
        <f t="shared" si="26"/>
        <v>45729</v>
      </c>
      <c r="H75" s="13" t="s">
        <v>328</v>
      </c>
      <c r="I75" s="58">
        <f t="shared" si="20"/>
        <v>11</v>
      </c>
      <c r="J75" s="58">
        <f t="shared" si="27"/>
        <v>11</v>
      </c>
      <c r="K75" s="57">
        <f t="shared" si="21"/>
        <v>0</v>
      </c>
      <c r="L75" s="13">
        <f t="shared" si="22"/>
        <v>0</v>
      </c>
      <c r="M75" s="13">
        <f t="shared" si="23"/>
        <v>0</v>
      </c>
      <c r="N75" s="59">
        <f t="shared" si="24"/>
        <v>0</v>
      </c>
    </row>
    <row r="76" spans="1:14" x14ac:dyDescent="0.25">
      <c r="A76" s="35">
        <f t="shared" si="26"/>
        <v>45760</v>
      </c>
      <c r="H76" s="13" t="s">
        <v>329</v>
      </c>
      <c r="I76" s="58">
        <f t="shared" si="20"/>
        <v>11</v>
      </c>
      <c r="J76" s="58">
        <f t="shared" si="27"/>
        <v>13</v>
      </c>
      <c r="K76" s="57">
        <f t="shared" si="21"/>
        <v>0</v>
      </c>
      <c r="L76" s="13">
        <f t="shared" si="22"/>
        <v>0</v>
      </c>
      <c r="M76" s="13">
        <f t="shared" si="23"/>
        <v>0</v>
      </c>
      <c r="N76" s="59">
        <f t="shared" si="24"/>
        <v>0</v>
      </c>
    </row>
    <row r="77" spans="1:14" x14ac:dyDescent="0.25">
      <c r="A77" s="35">
        <f t="shared" si="26"/>
        <v>45791</v>
      </c>
      <c r="H77" s="13" t="s">
        <v>330</v>
      </c>
      <c r="I77" s="58">
        <f t="shared" si="20"/>
        <v>11</v>
      </c>
      <c r="J77" s="58">
        <f t="shared" si="27"/>
        <v>15</v>
      </c>
      <c r="K77" s="57">
        <f t="shared" si="21"/>
        <v>0</v>
      </c>
      <c r="L77" s="13">
        <f t="shared" si="22"/>
        <v>0</v>
      </c>
      <c r="M77" s="13">
        <f t="shared" si="23"/>
        <v>0</v>
      </c>
      <c r="N77" s="59">
        <f t="shared" si="24"/>
        <v>0</v>
      </c>
    </row>
    <row r="78" spans="1:14" x14ac:dyDescent="0.25">
      <c r="A78" s="35">
        <f t="shared" si="26"/>
        <v>45822</v>
      </c>
      <c r="H78" s="13" t="s">
        <v>331</v>
      </c>
      <c r="I78" s="58">
        <f t="shared" si="20"/>
        <v>11</v>
      </c>
      <c r="J78" s="58">
        <f t="shared" si="27"/>
        <v>17</v>
      </c>
      <c r="K78" s="57">
        <f t="shared" si="21"/>
        <v>0</v>
      </c>
      <c r="L78" s="13">
        <f t="shared" si="22"/>
        <v>0</v>
      </c>
      <c r="M78" s="13">
        <f t="shared" si="23"/>
        <v>0</v>
      </c>
      <c r="N78" s="59">
        <f t="shared" si="24"/>
        <v>0</v>
      </c>
    </row>
    <row r="79" spans="1:14" x14ac:dyDescent="0.25">
      <c r="A79" s="35">
        <f t="shared" si="26"/>
        <v>45853</v>
      </c>
      <c r="H79" s="13" t="s">
        <v>332</v>
      </c>
      <c r="I79" s="58">
        <f>I78+1</f>
        <v>12</v>
      </c>
      <c r="J79" s="58">
        <f>J72</f>
        <v>5</v>
      </c>
      <c r="K79" s="57" t="str">
        <f t="shared" si="21"/>
        <v>Fulano da Silva</v>
      </c>
      <c r="L79" s="13">
        <f t="shared" si="22"/>
        <v>0</v>
      </c>
      <c r="M79" s="13">
        <f t="shared" si="23"/>
        <v>0</v>
      </c>
      <c r="N79" s="59">
        <f t="shared" si="24"/>
        <v>12345</v>
      </c>
    </row>
    <row r="80" spans="1:14" x14ac:dyDescent="0.25">
      <c r="A80" s="35">
        <f t="shared" si="26"/>
        <v>45884</v>
      </c>
      <c r="H80" s="13" t="s">
        <v>333</v>
      </c>
      <c r="I80" s="58">
        <f t="shared" si="20"/>
        <v>12</v>
      </c>
      <c r="J80" s="58">
        <f>J79+2</f>
        <v>7</v>
      </c>
      <c r="K80" s="57">
        <f t="shared" si="21"/>
        <v>0</v>
      </c>
      <c r="L80" s="13">
        <f t="shared" si="22"/>
        <v>0</v>
      </c>
      <c r="M80" s="13">
        <f t="shared" si="23"/>
        <v>0</v>
      </c>
      <c r="N80" s="59">
        <f t="shared" si="24"/>
        <v>0</v>
      </c>
    </row>
    <row r="81" spans="1:14" x14ac:dyDescent="0.25">
      <c r="A81" s="35">
        <f t="shared" si="26"/>
        <v>45915</v>
      </c>
      <c r="H81" s="13" t="s">
        <v>334</v>
      </c>
      <c r="I81" s="58">
        <f t="shared" si="20"/>
        <v>12</v>
      </c>
      <c r="J81" s="58">
        <f t="shared" ref="J81:J85" si="28">J80+2</f>
        <v>9</v>
      </c>
      <c r="K81" s="57">
        <f t="shared" si="21"/>
        <v>0</v>
      </c>
      <c r="L81" s="13">
        <f t="shared" si="22"/>
        <v>0</v>
      </c>
      <c r="M81" s="13">
        <f t="shared" si="23"/>
        <v>0</v>
      </c>
      <c r="N81" s="59">
        <f t="shared" si="24"/>
        <v>0</v>
      </c>
    </row>
    <row r="82" spans="1:14" x14ac:dyDescent="0.25">
      <c r="A82" s="35">
        <f t="shared" si="26"/>
        <v>45946</v>
      </c>
      <c r="H82" s="13" t="s">
        <v>335</v>
      </c>
      <c r="I82" s="58">
        <f t="shared" si="20"/>
        <v>12</v>
      </c>
      <c r="J82" s="58">
        <f t="shared" si="28"/>
        <v>11</v>
      </c>
      <c r="K82" s="57">
        <f t="shared" si="21"/>
        <v>0</v>
      </c>
      <c r="L82" s="13">
        <f t="shared" si="22"/>
        <v>0</v>
      </c>
      <c r="M82" s="13">
        <f t="shared" si="23"/>
        <v>0</v>
      </c>
      <c r="N82" s="59">
        <f t="shared" si="24"/>
        <v>0</v>
      </c>
    </row>
    <row r="83" spans="1:14" x14ac:dyDescent="0.25">
      <c r="A83" s="35">
        <f t="shared" si="26"/>
        <v>45977</v>
      </c>
      <c r="H83" s="13" t="s">
        <v>336</v>
      </c>
      <c r="I83" s="58">
        <f t="shared" si="20"/>
        <v>12</v>
      </c>
      <c r="J83" s="58">
        <f t="shared" si="28"/>
        <v>13</v>
      </c>
      <c r="K83" s="57">
        <f t="shared" si="21"/>
        <v>0</v>
      </c>
      <c r="L83" s="13">
        <f t="shared" si="22"/>
        <v>0</v>
      </c>
      <c r="M83" s="13">
        <f t="shared" si="23"/>
        <v>0</v>
      </c>
      <c r="N83" s="59">
        <f t="shared" si="24"/>
        <v>0</v>
      </c>
    </row>
    <row r="84" spans="1:14" x14ac:dyDescent="0.25">
      <c r="A84" s="35">
        <f t="shared" si="26"/>
        <v>46008</v>
      </c>
      <c r="H84" s="13" t="s">
        <v>337</v>
      </c>
      <c r="I84" s="58">
        <f t="shared" si="20"/>
        <v>12</v>
      </c>
      <c r="J84" s="58">
        <f t="shared" si="28"/>
        <v>15</v>
      </c>
      <c r="K84" s="57">
        <f t="shared" si="21"/>
        <v>0</v>
      </c>
      <c r="L84" s="13">
        <f t="shared" si="22"/>
        <v>0</v>
      </c>
      <c r="M84" s="13">
        <f t="shared" si="23"/>
        <v>0</v>
      </c>
      <c r="N84" s="59">
        <f t="shared" si="24"/>
        <v>0</v>
      </c>
    </row>
    <row r="85" spans="1:14" x14ac:dyDescent="0.25">
      <c r="A85" s="35">
        <f t="shared" si="26"/>
        <v>46039</v>
      </c>
      <c r="H85" s="13" t="s">
        <v>338</v>
      </c>
      <c r="I85" s="58">
        <f t="shared" si="20"/>
        <v>12</v>
      </c>
      <c r="J85" s="58">
        <f t="shared" si="28"/>
        <v>17</v>
      </c>
      <c r="K85" s="57">
        <f t="shared" si="21"/>
        <v>0</v>
      </c>
      <c r="L85" s="13">
        <f t="shared" si="22"/>
        <v>0</v>
      </c>
      <c r="M85" s="13">
        <f t="shared" si="23"/>
        <v>0</v>
      </c>
      <c r="N85" s="59">
        <f t="shared" si="24"/>
        <v>0</v>
      </c>
    </row>
    <row r="86" spans="1:14" x14ac:dyDescent="0.25">
      <c r="A86" s="35">
        <f t="shared" si="26"/>
        <v>46070</v>
      </c>
      <c r="H86" s="13" t="s">
        <v>339</v>
      </c>
      <c r="I86" s="58">
        <f>I85+1</f>
        <v>13</v>
      </c>
      <c r="J86" s="58">
        <f>J79</f>
        <v>5</v>
      </c>
      <c r="K86" s="57" t="str">
        <f t="shared" si="21"/>
        <v>Fulano da Silva</v>
      </c>
      <c r="L86" s="13">
        <f t="shared" si="22"/>
        <v>43647</v>
      </c>
      <c r="M86" s="13">
        <f t="shared" si="23"/>
        <v>43677</v>
      </c>
      <c r="N86" s="59">
        <f t="shared" si="24"/>
        <v>12345</v>
      </c>
    </row>
    <row r="87" spans="1:14" x14ac:dyDescent="0.25">
      <c r="A87" s="35">
        <f t="shared" si="26"/>
        <v>46101</v>
      </c>
      <c r="H87" s="13" t="s">
        <v>340</v>
      </c>
      <c r="I87" s="58">
        <f t="shared" si="20"/>
        <v>13</v>
      </c>
      <c r="J87" s="58">
        <f>J86+2</f>
        <v>7</v>
      </c>
      <c r="K87" s="57">
        <f t="shared" si="21"/>
        <v>0</v>
      </c>
      <c r="L87" s="13">
        <f t="shared" si="22"/>
        <v>43647</v>
      </c>
      <c r="M87" s="13">
        <f t="shared" si="23"/>
        <v>43677</v>
      </c>
      <c r="N87" s="59">
        <f t="shared" si="24"/>
        <v>0</v>
      </c>
    </row>
    <row r="88" spans="1:14" x14ac:dyDescent="0.25">
      <c r="A88" s="35">
        <f t="shared" si="26"/>
        <v>46132</v>
      </c>
      <c r="H88" s="13" t="s">
        <v>341</v>
      </c>
      <c r="I88" s="58">
        <f t="shared" si="20"/>
        <v>13</v>
      </c>
      <c r="J88" s="58">
        <f t="shared" ref="J88:J92" si="29">J87+2</f>
        <v>9</v>
      </c>
      <c r="K88" s="57">
        <f t="shared" si="21"/>
        <v>0</v>
      </c>
      <c r="L88" s="13">
        <f t="shared" si="22"/>
        <v>43647</v>
      </c>
      <c r="M88" s="13">
        <f t="shared" si="23"/>
        <v>43677</v>
      </c>
      <c r="N88" s="59">
        <f t="shared" si="24"/>
        <v>0</v>
      </c>
    </row>
    <row r="89" spans="1:14" x14ac:dyDescent="0.25">
      <c r="A89" s="35">
        <f t="shared" si="26"/>
        <v>46163</v>
      </c>
      <c r="H89" s="13" t="s">
        <v>342</v>
      </c>
      <c r="I89" s="58">
        <f t="shared" si="20"/>
        <v>13</v>
      </c>
      <c r="J89" s="58">
        <f t="shared" si="29"/>
        <v>11</v>
      </c>
      <c r="K89" s="57">
        <f t="shared" si="21"/>
        <v>0</v>
      </c>
      <c r="L89" s="13">
        <f t="shared" si="22"/>
        <v>43647</v>
      </c>
      <c r="M89" s="13">
        <f t="shared" si="23"/>
        <v>43677</v>
      </c>
      <c r="N89" s="59">
        <f t="shared" si="24"/>
        <v>0</v>
      </c>
    </row>
    <row r="90" spans="1:14" x14ac:dyDescent="0.25">
      <c r="A90" s="35">
        <f t="shared" si="26"/>
        <v>46194</v>
      </c>
      <c r="H90" s="13" t="s">
        <v>343</v>
      </c>
      <c r="I90" s="58">
        <f t="shared" si="20"/>
        <v>13</v>
      </c>
      <c r="J90" s="58">
        <f t="shared" si="29"/>
        <v>13</v>
      </c>
      <c r="K90" s="57">
        <f t="shared" si="21"/>
        <v>0</v>
      </c>
      <c r="L90" s="13">
        <f t="shared" si="22"/>
        <v>43647</v>
      </c>
      <c r="M90" s="13">
        <f t="shared" si="23"/>
        <v>43677</v>
      </c>
      <c r="N90" s="59">
        <f t="shared" si="24"/>
        <v>0</v>
      </c>
    </row>
    <row r="91" spans="1:14" x14ac:dyDescent="0.25">
      <c r="A91" s="35">
        <f t="shared" si="26"/>
        <v>46225</v>
      </c>
      <c r="H91" s="13" t="s">
        <v>344</v>
      </c>
      <c r="I91" s="58">
        <f t="shared" si="20"/>
        <v>13</v>
      </c>
      <c r="J91" s="58">
        <f t="shared" si="29"/>
        <v>15</v>
      </c>
      <c r="K91" s="57">
        <f t="shared" si="21"/>
        <v>0</v>
      </c>
      <c r="L91" s="13">
        <f t="shared" si="22"/>
        <v>43647</v>
      </c>
      <c r="M91" s="13">
        <f t="shared" si="23"/>
        <v>43677</v>
      </c>
      <c r="N91" s="59">
        <f t="shared" si="24"/>
        <v>0</v>
      </c>
    </row>
    <row r="92" spans="1:14" x14ac:dyDescent="0.25">
      <c r="A92" s="35">
        <f t="shared" si="26"/>
        <v>46256</v>
      </c>
      <c r="H92" s="13" t="s">
        <v>345</v>
      </c>
      <c r="I92" s="58">
        <f t="shared" si="20"/>
        <v>13</v>
      </c>
      <c r="J92" s="58">
        <f t="shared" si="29"/>
        <v>17</v>
      </c>
      <c r="K92" s="57">
        <f t="shared" si="21"/>
        <v>0</v>
      </c>
      <c r="L92" s="13">
        <f t="shared" si="22"/>
        <v>43647</v>
      </c>
      <c r="M92" s="13">
        <f t="shared" si="23"/>
        <v>43677</v>
      </c>
      <c r="N92" s="59">
        <f t="shared" si="24"/>
        <v>0</v>
      </c>
    </row>
    <row r="93" spans="1:14" x14ac:dyDescent="0.25">
      <c r="A93" s="35">
        <f t="shared" si="26"/>
        <v>46287</v>
      </c>
      <c r="H93" s="13" t="s">
        <v>346</v>
      </c>
      <c r="I93" s="58">
        <f>I92+1</f>
        <v>14</v>
      </c>
      <c r="J93" s="58">
        <f>J86</f>
        <v>5</v>
      </c>
      <c r="K93" s="57" t="str">
        <f t="shared" si="21"/>
        <v>Fulano da Silva</v>
      </c>
      <c r="L93" s="13">
        <f t="shared" si="22"/>
        <v>0</v>
      </c>
      <c r="M93" s="13">
        <f t="shared" si="23"/>
        <v>0</v>
      </c>
      <c r="N93" s="59">
        <f t="shared" si="24"/>
        <v>12345</v>
      </c>
    </row>
    <row r="94" spans="1:14" x14ac:dyDescent="0.25">
      <c r="A94" s="35">
        <f t="shared" si="26"/>
        <v>46318</v>
      </c>
      <c r="H94" s="13" t="s">
        <v>347</v>
      </c>
      <c r="I94" s="58">
        <f t="shared" si="20"/>
        <v>14</v>
      </c>
      <c r="J94" s="58">
        <f>J93+2</f>
        <v>7</v>
      </c>
      <c r="K94" s="57">
        <f t="shared" si="21"/>
        <v>0</v>
      </c>
      <c r="L94" s="13">
        <f t="shared" si="22"/>
        <v>0</v>
      </c>
      <c r="M94" s="13">
        <f t="shared" si="23"/>
        <v>0</v>
      </c>
      <c r="N94" s="59">
        <f t="shared" si="24"/>
        <v>0</v>
      </c>
    </row>
    <row r="95" spans="1:14" x14ac:dyDescent="0.25">
      <c r="A95" s="35">
        <f t="shared" si="26"/>
        <v>46349</v>
      </c>
      <c r="H95" s="13" t="s">
        <v>348</v>
      </c>
      <c r="I95" s="58">
        <f t="shared" si="20"/>
        <v>14</v>
      </c>
      <c r="J95" s="58">
        <f t="shared" ref="J95:J99" si="30">J94+2</f>
        <v>9</v>
      </c>
      <c r="K95" s="57">
        <f t="shared" si="21"/>
        <v>0</v>
      </c>
      <c r="L95" s="13">
        <f t="shared" si="22"/>
        <v>0</v>
      </c>
      <c r="M95" s="13">
        <f t="shared" si="23"/>
        <v>0</v>
      </c>
      <c r="N95" s="59">
        <f t="shared" si="24"/>
        <v>0</v>
      </c>
    </row>
    <row r="96" spans="1:14" x14ac:dyDescent="0.25">
      <c r="A96" s="35">
        <f t="shared" si="26"/>
        <v>46380</v>
      </c>
      <c r="H96" s="13" t="s">
        <v>349</v>
      </c>
      <c r="I96" s="58">
        <f t="shared" si="20"/>
        <v>14</v>
      </c>
      <c r="J96" s="58">
        <f t="shared" si="30"/>
        <v>11</v>
      </c>
      <c r="K96" s="57">
        <f t="shared" si="21"/>
        <v>0</v>
      </c>
      <c r="L96" s="13">
        <f t="shared" si="22"/>
        <v>0</v>
      </c>
      <c r="M96" s="13">
        <f t="shared" si="23"/>
        <v>0</v>
      </c>
      <c r="N96" s="59">
        <f t="shared" si="24"/>
        <v>0</v>
      </c>
    </row>
    <row r="97" spans="1:14" x14ac:dyDescent="0.25">
      <c r="A97" s="35">
        <f t="shared" si="26"/>
        <v>46411</v>
      </c>
      <c r="H97" s="13" t="s">
        <v>350</v>
      </c>
      <c r="I97" s="58">
        <f t="shared" si="20"/>
        <v>14</v>
      </c>
      <c r="J97" s="58">
        <f t="shared" si="30"/>
        <v>13</v>
      </c>
      <c r="K97" s="57">
        <f t="shared" si="21"/>
        <v>0</v>
      </c>
      <c r="L97" s="13">
        <f t="shared" si="22"/>
        <v>0</v>
      </c>
      <c r="M97" s="13">
        <f t="shared" si="23"/>
        <v>0</v>
      </c>
      <c r="N97" s="59">
        <f t="shared" si="24"/>
        <v>0</v>
      </c>
    </row>
    <row r="98" spans="1:14" x14ac:dyDescent="0.25">
      <c r="A98" s="35">
        <f t="shared" si="26"/>
        <v>46442</v>
      </c>
      <c r="H98" s="13" t="s">
        <v>351</v>
      </c>
      <c r="I98" s="58">
        <f t="shared" si="20"/>
        <v>14</v>
      </c>
      <c r="J98" s="58">
        <f t="shared" si="30"/>
        <v>15</v>
      </c>
      <c r="K98" s="57">
        <f t="shared" ref="K98:K129" si="31">INDEX(projetos,I98,J98)</f>
        <v>0</v>
      </c>
      <c r="L98" s="13">
        <f t="shared" ref="L98:L129" si="32">INDEX(projetos,I98,3)</f>
        <v>0</v>
      </c>
      <c r="M98" s="13">
        <f t="shared" ref="M98:M129" si="33">INDEX(projetos,I98,4)</f>
        <v>0</v>
      </c>
      <c r="N98" s="59">
        <f t="shared" ref="N98:N129" si="34">INDEX(projetos,I98,J98+1)</f>
        <v>0</v>
      </c>
    </row>
    <row r="99" spans="1:14" x14ac:dyDescent="0.25">
      <c r="A99" s="35">
        <f t="shared" si="26"/>
        <v>46473</v>
      </c>
      <c r="H99" s="13" t="s">
        <v>352</v>
      </c>
      <c r="I99" s="58">
        <f t="shared" si="20"/>
        <v>14</v>
      </c>
      <c r="J99" s="58">
        <f t="shared" si="30"/>
        <v>17</v>
      </c>
      <c r="K99" s="57">
        <f t="shared" si="31"/>
        <v>0</v>
      </c>
      <c r="L99" s="13">
        <f t="shared" si="32"/>
        <v>0</v>
      </c>
      <c r="M99" s="13">
        <f t="shared" si="33"/>
        <v>0</v>
      </c>
      <c r="N99" s="59">
        <f t="shared" si="34"/>
        <v>0</v>
      </c>
    </row>
    <row r="100" spans="1:14" x14ac:dyDescent="0.25">
      <c r="A100" s="35">
        <f t="shared" si="26"/>
        <v>46504</v>
      </c>
      <c r="H100" s="13" t="s">
        <v>353</v>
      </c>
      <c r="I100" s="58">
        <f>I99+1</f>
        <v>15</v>
      </c>
      <c r="J100" s="58">
        <f>J93</f>
        <v>5</v>
      </c>
      <c r="K100" s="57" t="str">
        <f t="shared" si="31"/>
        <v>Fulano da Silva</v>
      </c>
      <c r="L100" s="13">
        <f t="shared" si="32"/>
        <v>0</v>
      </c>
      <c r="M100" s="13">
        <f t="shared" si="33"/>
        <v>0</v>
      </c>
      <c r="N100" s="59">
        <f t="shared" si="34"/>
        <v>12345</v>
      </c>
    </row>
    <row r="101" spans="1:14" x14ac:dyDescent="0.25">
      <c r="A101" s="35">
        <f t="shared" si="26"/>
        <v>46535</v>
      </c>
      <c r="H101" s="13" t="s">
        <v>354</v>
      </c>
      <c r="I101" s="58">
        <f t="shared" si="20"/>
        <v>15</v>
      </c>
      <c r="J101" s="58">
        <f>J100+2</f>
        <v>7</v>
      </c>
      <c r="K101" s="57">
        <f t="shared" si="31"/>
        <v>0</v>
      </c>
      <c r="L101" s="13">
        <f t="shared" si="32"/>
        <v>0</v>
      </c>
      <c r="M101" s="13">
        <f t="shared" si="33"/>
        <v>0</v>
      </c>
      <c r="N101" s="59">
        <f t="shared" si="34"/>
        <v>0</v>
      </c>
    </row>
    <row r="102" spans="1:14" x14ac:dyDescent="0.25">
      <c r="A102" s="35">
        <f t="shared" si="26"/>
        <v>46566</v>
      </c>
      <c r="H102" s="13" t="s">
        <v>355</v>
      </c>
      <c r="I102" s="58">
        <f t="shared" si="20"/>
        <v>15</v>
      </c>
      <c r="J102" s="58">
        <f t="shared" ref="J102:J106" si="35">J101+2</f>
        <v>9</v>
      </c>
      <c r="K102" s="57">
        <f t="shared" si="31"/>
        <v>0</v>
      </c>
      <c r="L102" s="13">
        <f t="shared" si="32"/>
        <v>0</v>
      </c>
      <c r="M102" s="13">
        <f t="shared" si="33"/>
        <v>0</v>
      </c>
      <c r="N102" s="59">
        <f t="shared" si="34"/>
        <v>0</v>
      </c>
    </row>
    <row r="103" spans="1:14" x14ac:dyDescent="0.25">
      <c r="A103" s="35">
        <f t="shared" si="26"/>
        <v>46597</v>
      </c>
      <c r="H103" s="13" t="s">
        <v>356</v>
      </c>
      <c r="I103" s="58">
        <f t="shared" si="20"/>
        <v>15</v>
      </c>
      <c r="J103" s="58">
        <f t="shared" si="35"/>
        <v>11</v>
      </c>
      <c r="K103" s="57">
        <f t="shared" si="31"/>
        <v>0</v>
      </c>
      <c r="L103" s="13">
        <f t="shared" si="32"/>
        <v>0</v>
      </c>
      <c r="M103" s="13">
        <f t="shared" si="33"/>
        <v>0</v>
      </c>
      <c r="N103" s="59">
        <f t="shared" si="34"/>
        <v>0</v>
      </c>
    </row>
    <row r="104" spans="1:14" x14ac:dyDescent="0.25">
      <c r="A104" s="35">
        <f t="shared" si="26"/>
        <v>46628</v>
      </c>
      <c r="H104" s="13" t="s">
        <v>357</v>
      </c>
      <c r="I104" s="58">
        <f t="shared" si="20"/>
        <v>15</v>
      </c>
      <c r="J104" s="58">
        <f t="shared" si="35"/>
        <v>13</v>
      </c>
      <c r="K104" s="57">
        <f t="shared" si="31"/>
        <v>0</v>
      </c>
      <c r="L104" s="13">
        <f t="shared" si="32"/>
        <v>0</v>
      </c>
      <c r="M104" s="13">
        <f t="shared" si="33"/>
        <v>0</v>
      </c>
      <c r="N104" s="59">
        <f t="shared" si="34"/>
        <v>0</v>
      </c>
    </row>
    <row r="105" spans="1:14" x14ac:dyDescent="0.25">
      <c r="A105" s="35">
        <f t="shared" si="26"/>
        <v>46659</v>
      </c>
      <c r="H105" s="13" t="s">
        <v>358</v>
      </c>
      <c r="I105" s="58">
        <f t="shared" si="20"/>
        <v>15</v>
      </c>
      <c r="J105" s="58">
        <f t="shared" si="35"/>
        <v>15</v>
      </c>
      <c r="K105" s="57">
        <f t="shared" si="31"/>
        <v>0</v>
      </c>
      <c r="L105" s="13">
        <f t="shared" si="32"/>
        <v>0</v>
      </c>
      <c r="M105" s="13">
        <f t="shared" si="33"/>
        <v>0</v>
      </c>
      <c r="N105" s="59">
        <f t="shared" si="34"/>
        <v>0</v>
      </c>
    </row>
    <row r="106" spans="1:14" x14ac:dyDescent="0.25">
      <c r="A106" s="35">
        <f t="shared" ref="A106:A137" si="36">A105+31</f>
        <v>46690</v>
      </c>
      <c r="H106" s="13" t="s">
        <v>359</v>
      </c>
      <c r="I106" s="58">
        <f t="shared" si="20"/>
        <v>15</v>
      </c>
      <c r="J106" s="58">
        <f t="shared" si="35"/>
        <v>17</v>
      </c>
      <c r="K106" s="57">
        <f t="shared" si="31"/>
        <v>0</v>
      </c>
      <c r="L106" s="13">
        <f t="shared" si="32"/>
        <v>0</v>
      </c>
      <c r="M106" s="13">
        <f t="shared" si="33"/>
        <v>0</v>
      </c>
      <c r="N106" s="59">
        <f t="shared" si="34"/>
        <v>0</v>
      </c>
    </row>
    <row r="107" spans="1:14" x14ac:dyDescent="0.25">
      <c r="A107" s="35">
        <f t="shared" si="36"/>
        <v>46721</v>
      </c>
      <c r="H107" s="13" t="s">
        <v>360</v>
      </c>
      <c r="I107" s="58">
        <f>I106+1</f>
        <v>16</v>
      </c>
      <c r="J107" s="58">
        <f>J100</f>
        <v>5</v>
      </c>
      <c r="K107" s="57" t="str">
        <f t="shared" si="31"/>
        <v>Fulano da Silva</v>
      </c>
      <c r="L107" s="13">
        <f t="shared" si="32"/>
        <v>0</v>
      </c>
      <c r="M107" s="13">
        <f t="shared" si="33"/>
        <v>0</v>
      </c>
      <c r="N107" s="59">
        <f t="shared" si="34"/>
        <v>12345</v>
      </c>
    </row>
    <row r="108" spans="1:14" x14ac:dyDescent="0.25">
      <c r="A108" s="35">
        <f t="shared" si="36"/>
        <v>46752</v>
      </c>
      <c r="H108" s="13" t="s">
        <v>361</v>
      </c>
      <c r="I108" s="58">
        <f t="shared" si="20"/>
        <v>16</v>
      </c>
      <c r="J108" s="58">
        <f>J107+2</f>
        <v>7</v>
      </c>
      <c r="K108" s="57">
        <f t="shared" si="31"/>
        <v>0</v>
      </c>
      <c r="L108" s="13">
        <f t="shared" si="32"/>
        <v>0</v>
      </c>
      <c r="M108" s="13">
        <f t="shared" si="33"/>
        <v>0</v>
      </c>
      <c r="N108" s="59">
        <f t="shared" si="34"/>
        <v>0</v>
      </c>
    </row>
    <row r="109" spans="1:14" x14ac:dyDescent="0.25">
      <c r="A109" s="35">
        <f t="shared" si="36"/>
        <v>46783</v>
      </c>
      <c r="H109" s="13" t="s">
        <v>362</v>
      </c>
      <c r="I109" s="58">
        <f t="shared" si="20"/>
        <v>16</v>
      </c>
      <c r="J109" s="58">
        <f t="shared" ref="J109:J113" si="37">J108+2</f>
        <v>9</v>
      </c>
      <c r="K109" s="57">
        <f t="shared" si="31"/>
        <v>0</v>
      </c>
      <c r="L109" s="13">
        <f t="shared" si="32"/>
        <v>0</v>
      </c>
      <c r="M109" s="13">
        <f t="shared" si="33"/>
        <v>0</v>
      </c>
      <c r="N109" s="59">
        <f t="shared" si="34"/>
        <v>0</v>
      </c>
    </row>
    <row r="110" spans="1:14" x14ac:dyDescent="0.25">
      <c r="A110" s="35">
        <f t="shared" si="36"/>
        <v>46814</v>
      </c>
      <c r="H110" s="13" t="s">
        <v>363</v>
      </c>
      <c r="I110" s="58">
        <f t="shared" si="20"/>
        <v>16</v>
      </c>
      <c r="J110" s="58">
        <f t="shared" si="37"/>
        <v>11</v>
      </c>
      <c r="K110" s="57">
        <f t="shared" si="31"/>
        <v>0</v>
      </c>
      <c r="L110" s="13">
        <f t="shared" si="32"/>
        <v>0</v>
      </c>
      <c r="M110" s="13">
        <f t="shared" si="33"/>
        <v>0</v>
      </c>
      <c r="N110" s="59">
        <f t="shared" si="34"/>
        <v>0</v>
      </c>
    </row>
    <row r="111" spans="1:14" x14ac:dyDescent="0.25">
      <c r="A111" s="35">
        <f t="shared" si="36"/>
        <v>46845</v>
      </c>
      <c r="H111" s="13" t="s">
        <v>364</v>
      </c>
      <c r="I111" s="58">
        <f t="shared" si="20"/>
        <v>16</v>
      </c>
      <c r="J111" s="58">
        <f t="shared" si="37"/>
        <v>13</v>
      </c>
      <c r="K111" s="57">
        <f t="shared" si="31"/>
        <v>0</v>
      </c>
      <c r="L111" s="13">
        <f t="shared" si="32"/>
        <v>0</v>
      </c>
      <c r="M111" s="13">
        <f t="shared" si="33"/>
        <v>0</v>
      </c>
      <c r="N111" s="59">
        <f t="shared" si="34"/>
        <v>0</v>
      </c>
    </row>
    <row r="112" spans="1:14" x14ac:dyDescent="0.25">
      <c r="A112" s="35">
        <f t="shared" si="36"/>
        <v>46876</v>
      </c>
      <c r="H112" s="13" t="s">
        <v>365</v>
      </c>
      <c r="I112" s="58">
        <f t="shared" si="20"/>
        <v>16</v>
      </c>
      <c r="J112" s="58">
        <f t="shared" si="37"/>
        <v>15</v>
      </c>
      <c r="K112" s="57">
        <f t="shared" si="31"/>
        <v>0</v>
      </c>
      <c r="L112" s="13">
        <f t="shared" si="32"/>
        <v>0</v>
      </c>
      <c r="M112" s="13">
        <f t="shared" si="33"/>
        <v>0</v>
      </c>
      <c r="N112" s="59">
        <f t="shared" si="34"/>
        <v>0</v>
      </c>
    </row>
    <row r="113" spans="1:14" x14ac:dyDescent="0.25">
      <c r="A113" s="35">
        <f t="shared" si="36"/>
        <v>46907</v>
      </c>
      <c r="H113" s="13" t="s">
        <v>366</v>
      </c>
      <c r="I113" s="58">
        <f t="shared" si="20"/>
        <v>16</v>
      </c>
      <c r="J113" s="58">
        <f t="shared" si="37"/>
        <v>17</v>
      </c>
      <c r="K113" s="57">
        <f t="shared" si="31"/>
        <v>0</v>
      </c>
      <c r="L113" s="13">
        <f t="shared" si="32"/>
        <v>0</v>
      </c>
      <c r="M113" s="13">
        <f t="shared" si="33"/>
        <v>0</v>
      </c>
      <c r="N113" s="59">
        <f t="shared" si="34"/>
        <v>0</v>
      </c>
    </row>
    <row r="114" spans="1:14" x14ac:dyDescent="0.25">
      <c r="A114" s="35">
        <f t="shared" si="36"/>
        <v>46938</v>
      </c>
      <c r="H114" s="13" t="s">
        <v>367</v>
      </c>
      <c r="I114" s="58">
        <f>I113+1</f>
        <v>17</v>
      </c>
      <c r="J114" s="58">
        <f>J107</f>
        <v>5</v>
      </c>
      <c r="K114" s="57" t="str">
        <f t="shared" si="31"/>
        <v>Fulano da Silva</v>
      </c>
      <c r="L114" s="13">
        <f t="shared" si="32"/>
        <v>0</v>
      </c>
      <c r="M114" s="13">
        <f t="shared" si="33"/>
        <v>0</v>
      </c>
      <c r="N114" s="59">
        <f t="shared" si="34"/>
        <v>12345</v>
      </c>
    </row>
    <row r="115" spans="1:14" x14ac:dyDescent="0.25">
      <c r="A115" s="35">
        <f t="shared" si="36"/>
        <v>46969</v>
      </c>
      <c r="H115" s="13" t="s">
        <v>368</v>
      </c>
      <c r="I115" s="58">
        <f t="shared" si="20"/>
        <v>17</v>
      </c>
      <c r="J115" s="58">
        <f>J114+2</f>
        <v>7</v>
      </c>
      <c r="K115" s="57">
        <f t="shared" si="31"/>
        <v>0</v>
      </c>
      <c r="L115" s="13">
        <f t="shared" si="32"/>
        <v>0</v>
      </c>
      <c r="M115" s="13">
        <f t="shared" si="33"/>
        <v>0</v>
      </c>
      <c r="N115" s="59">
        <f t="shared" si="34"/>
        <v>0</v>
      </c>
    </row>
    <row r="116" spans="1:14" x14ac:dyDescent="0.25">
      <c r="A116" s="35">
        <f t="shared" si="36"/>
        <v>47000</v>
      </c>
      <c r="H116" s="13" t="s">
        <v>369</v>
      </c>
      <c r="I116" s="58">
        <f t="shared" si="20"/>
        <v>17</v>
      </c>
      <c r="J116" s="58">
        <f t="shared" ref="J116:J120" si="38">J115+2</f>
        <v>9</v>
      </c>
      <c r="K116" s="57">
        <f t="shared" si="31"/>
        <v>0</v>
      </c>
      <c r="L116" s="13">
        <f t="shared" si="32"/>
        <v>0</v>
      </c>
      <c r="M116" s="13">
        <f t="shared" si="33"/>
        <v>0</v>
      </c>
      <c r="N116" s="59">
        <f t="shared" si="34"/>
        <v>0</v>
      </c>
    </row>
    <row r="117" spans="1:14" x14ac:dyDescent="0.25">
      <c r="A117" s="35">
        <f t="shared" si="36"/>
        <v>47031</v>
      </c>
      <c r="H117" s="13" t="s">
        <v>370</v>
      </c>
      <c r="I117" s="58">
        <f t="shared" si="20"/>
        <v>17</v>
      </c>
      <c r="J117" s="58">
        <f t="shared" si="38"/>
        <v>11</v>
      </c>
      <c r="K117" s="57">
        <f t="shared" si="31"/>
        <v>0</v>
      </c>
      <c r="L117" s="13">
        <f t="shared" si="32"/>
        <v>0</v>
      </c>
      <c r="M117" s="13">
        <f t="shared" si="33"/>
        <v>0</v>
      </c>
      <c r="N117" s="59">
        <f t="shared" si="34"/>
        <v>0</v>
      </c>
    </row>
    <row r="118" spans="1:14" x14ac:dyDescent="0.25">
      <c r="A118" s="35">
        <f t="shared" si="36"/>
        <v>47062</v>
      </c>
      <c r="H118" s="13" t="s">
        <v>371</v>
      </c>
      <c r="I118" s="58">
        <f t="shared" si="20"/>
        <v>17</v>
      </c>
      <c r="J118" s="58">
        <f t="shared" si="38"/>
        <v>13</v>
      </c>
      <c r="K118" s="57">
        <f t="shared" si="31"/>
        <v>0</v>
      </c>
      <c r="L118" s="13">
        <f t="shared" si="32"/>
        <v>0</v>
      </c>
      <c r="M118" s="13">
        <f t="shared" si="33"/>
        <v>0</v>
      </c>
      <c r="N118" s="59">
        <f t="shared" si="34"/>
        <v>0</v>
      </c>
    </row>
    <row r="119" spans="1:14" x14ac:dyDescent="0.25">
      <c r="A119" s="35">
        <f t="shared" si="36"/>
        <v>47093</v>
      </c>
      <c r="H119" s="13" t="s">
        <v>372</v>
      </c>
      <c r="I119" s="58">
        <f t="shared" si="20"/>
        <v>17</v>
      </c>
      <c r="J119" s="58">
        <f t="shared" si="38"/>
        <v>15</v>
      </c>
      <c r="K119" s="57">
        <f t="shared" si="31"/>
        <v>0</v>
      </c>
      <c r="L119" s="13">
        <f t="shared" si="32"/>
        <v>0</v>
      </c>
      <c r="M119" s="13">
        <f t="shared" si="33"/>
        <v>0</v>
      </c>
      <c r="N119" s="59">
        <f t="shared" si="34"/>
        <v>0</v>
      </c>
    </row>
    <row r="120" spans="1:14" x14ac:dyDescent="0.25">
      <c r="A120" s="35">
        <f t="shared" si="36"/>
        <v>47124</v>
      </c>
      <c r="H120" s="13" t="s">
        <v>373</v>
      </c>
      <c r="I120" s="58">
        <f t="shared" si="20"/>
        <v>17</v>
      </c>
      <c r="J120" s="58">
        <f t="shared" si="38"/>
        <v>17</v>
      </c>
      <c r="K120" s="57">
        <f t="shared" si="31"/>
        <v>0</v>
      </c>
      <c r="L120" s="13">
        <f t="shared" si="32"/>
        <v>0</v>
      </c>
      <c r="M120" s="13">
        <f t="shared" si="33"/>
        <v>0</v>
      </c>
      <c r="N120" s="59">
        <f t="shared" si="34"/>
        <v>0</v>
      </c>
    </row>
    <row r="121" spans="1:14" x14ac:dyDescent="0.25">
      <c r="A121" s="35">
        <f t="shared" si="36"/>
        <v>47155</v>
      </c>
      <c r="H121" s="13" t="s">
        <v>374</v>
      </c>
      <c r="I121" s="58">
        <f>I120+1</f>
        <v>18</v>
      </c>
      <c r="J121" s="58">
        <f>J114</f>
        <v>5</v>
      </c>
      <c r="K121" s="57" t="str">
        <f t="shared" si="31"/>
        <v>Fulano da Silva</v>
      </c>
      <c r="L121" s="13">
        <f t="shared" si="32"/>
        <v>0</v>
      </c>
      <c r="M121" s="13">
        <f t="shared" si="33"/>
        <v>0</v>
      </c>
      <c r="N121" s="59">
        <f t="shared" si="34"/>
        <v>12345</v>
      </c>
    </row>
    <row r="122" spans="1:14" x14ac:dyDescent="0.25">
      <c r="A122" s="35">
        <f t="shared" si="36"/>
        <v>47186</v>
      </c>
      <c r="H122" s="13" t="s">
        <v>375</v>
      </c>
      <c r="I122" s="58">
        <f t="shared" si="20"/>
        <v>18</v>
      </c>
      <c r="J122" s="58">
        <f>J121+2</f>
        <v>7</v>
      </c>
      <c r="K122" s="57">
        <f t="shared" si="31"/>
        <v>0</v>
      </c>
      <c r="L122" s="13">
        <f t="shared" si="32"/>
        <v>0</v>
      </c>
      <c r="M122" s="13">
        <f t="shared" si="33"/>
        <v>0</v>
      </c>
      <c r="N122" s="59">
        <f t="shared" si="34"/>
        <v>0</v>
      </c>
    </row>
    <row r="123" spans="1:14" x14ac:dyDescent="0.25">
      <c r="A123" s="35">
        <f t="shared" si="36"/>
        <v>47217</v>
      </c>
      <c r="H123" s="13" t="s">
        <v>376</v>
      </c>
      <c r="I123" s="58">
        <f t="shared" si="20"/>
        <v>18</v>
      </c>
      <c r="J123" s="58">
        <f t="shared" ref="J123:J127" si="39">J122+2</f>
        <v>9</v>
      </c>
      <c r="K123" s="57">
        <f t="shared" si="31"/>
        <v>0</v>
      </c>
      <c r="L123" s="13">
        <f t="shared" si="32"/>
        <v>0</v>
      </c>
      <c r="M123" s="13">
        <f t="shared" si="33"/>
        <v>0</v>
      </c>
      <c r="N123" s="59">
        <f t="shared" si="34"/>
        <v>0</v>
      </c>
    </row>
    <row r="124" spans="1:14" x14ac:dyDescent="0.25">
      <c r="A124" s="35">
        <f t="shared" si="36"/>
        <v>47248</v>
      </c>
      <c r="H124" s="13" t="s">
        <v>377</v>
      </c>
      <c r="I124" s="58">
        <f t="shared" si="20"/>
        <v>18</v>
      </c>
      <c r="J124" s="58">
        <f t="shared" si="39"/>
        <v>11</v>
      </c>
      <c r="K124" s="57">
        <f t="shared" si="31"/>
        <v>0</v>
      </c>
      <c r="L124" s="13">
        <f t="shared" si="32"/>
        <v>0</v>
      </c>
      <c r="M124" s="13">
        <f t="shared" si="33"/>
        <v>0</v>
      </c>
      <c r="N124" s="59">
        <f t="shared" si="34"/>
        <v>0</v>
      </c>
    </row>
    <row r="125" spans="1:14" x14ac:dyDescent="0.25">
      <c r="A125" s="35">
        <f t="shared" si="36"/>
        <v>47279</v>
      </c>
      <c r="H125" s="13" t="s">
        <v>378</v>
      </c>
      <c r="I125" s="58">
        <f t="shared" ref="I125:I127" si="40">I124</f>
        <v>18</v>
      </c>
      <c r="J125" s="58">
        <f t="shared" si="39"/>
        <v>13</v>
      </c>
      <c r="K125" s="57">
        <f t="shared" si="31"/>
        <v>0</v>
      </c>
      <c r="L125" s="13">
        <f t="shared" si="32"/>
        <v>0</v>
      </c>
      <c r="M125" s="13">
        <f t="shared" si="33"/>
        <v>0</v>
      </c>
      <c r="N125" s="59">
        <f t="shared" si="34"/>
        <v>0</v>
      </c>
    </row>
    <row r="126" spans="1:14" x14ac:dyDescent="0.25">
      <c r="A126" s="35">
        <f t="shared" si="36"/>
        <v>47310</v>
      </c>
      <c r="H126" s="13" t="s">
        <v>379</v>
      </c>
      <c r="I126" s="58">
        <f t="shared" si="40"/>
        <v>18</v>
      </c>
      <c r="J126" s="58">
        <f t="shared" si="39"/>
        <v>15</v>
      </c>
      <c r="K126" s="57">
        <f t="shared" si="31"/>
        <v>0</v>
      </c>
      <c r="L126" s="13">
        <f t="shared" si="32"/>
        <v>0</v>
      </c>
      <c r="M126" s="13">
        <f t="shared" si="33"/>
        <v>0</v>
      </c>
      <c r="N126" s="59">
        <f t="shared" si="34"/>
        <v>0</v>
      </c>
    </row>
    <row r="127" spans="1:14" x14ac:dyDescent="0.25">
      <c r="A127" s="35">
        <f t="shared" si="36"/>
        <v>47341</v>
      </c>
      <c r="H127" s="13" t="s">
        <v>380</v>
      </c>
      <c r="I127" s="58">
        <f t="shared" si="40"/>
        <v>18</v>
      </c>
      <c r="J127" s="58">
        <f t="shared" si="39"/>
        <v>17</v>
      </c>
      <c r="K127" s="57">
        <f t="shared" si="31"/>
        <v>0</v>
      </c>
      <c r="L127" s="13">
        <f t="shared" si="32"/>
        <v>0</v>
      </c>
      <c r="M127" s="13">
        <f t="shared" si="33"/>
        <v>0</v>
      </c>
      <c r="N127" s="59">
        <f t="shared" si="34"/>
        <v>0</v>
      </c>
    </row>
    <row r="128" spans="1:14" x14ac:dyDescent="0.25">
      <c r="A128" s="35">
        <f t="shared" si="36"/>
        <v>47372</v>
      </c>
      <c r="H128" s="13" t="s">
        <v>381</v>
      </c>
      <c r="I128" s="58">
        <f>I127+1</f>
        <v>19</v>
      </c>
      <c r="J128" s="58">
        <f>J121</f>
        <v>5</v>
      </c>
      <c r="K128" s="57" t="str">
        <f t="shared" si="31"/>
        <v>Fulano da Silva</v>
      </c>
      <c r="L128" s="13">
        <f t="shared" si="32"/>
        <v>0</v>
      </c>
      <c r="M128" s="13">
        <f t="shared" si="33"/>
        <v>0</v>
      </c>
      <c r="N128" s="59">
        <f t="shared" si="34"/>
        <v>12345</v>
      </c>
    </row>
    <row r="129" spans="1:14" x14ac:dyDescent="0.25">
      <c r="A129" s="35">
        <f t="shared" si="36"/>
        <v>47403</v>
      </c>
      <c r="H129" s="13" t="s">
        <v>382</v>
      </c>
      <c r="I129" s="58">
        <f t="shared" ref="I129:I134" si="41">I128</f>
        <v>19</v>
      </c>
      <c r="J129" s="58">
        <f>J128+2</f>
        <v>7</v>
      </c>
      <c r="K129" s="57">
        <f t="shared" si="31"/>
        <v>0</v>
      </c>
      <c r="L129" s="13">
        <f t="shared" si="32"/>
        <v>0</v>
      </c>
      <c r="M129" s="13">
        <f t="shared" si="33"/>
        <v>0</v>
      </c>
      <c r="N129" s="59">
        <f t="shared" si="34"/>
        <v>0</v>
      </c>
    </row>
    <row r="130" spans="1:14" x14ac:dyDescent="0.25">
      <c r="A130" s="35">
        <f t="shared" si="36"/>
        <v>47434</v>
      </c>
      <c r="H130" s="13" t="s">
        <v>383</v>
      </c>
      <c r="I130" s="58">
        <f t="shared" si="41"/>
        <v>19</v>
      </c>
      <c r="J130" s="58">
        <f t="shared" ref="J130:J134" si="42">J129+2</f>
        <v>9</v>
      </c>
      <c r="K130" s="57">
        <f t="shared" ref="K130:K141" si="43">INDEX(projetos,I130,J130)</f>
        <v>0</v>
      </c>
      <c r="L130" s="13">
        <f t="shared" ref="L130:L141" si="44">INDEX(projetos,I130,3)</f>
        <v>0</v>
      </c>
      <c r="M130" s="13">
        <f t="shared" ref="M130:M141" si="45">INDEX(projetos,I130,4)</f>
        <v>0</v>
      </c>
      <c r="N130" s="59">
        <f t="shared" ref="N130:N141" si="46">INDEX(projetos,I130,J130+1)</f>
        <v>0</v>
      </c>
    </row>
    <row r="131" spans="1:14" x14ac:dyDescent="0.25">
      <c r="A131" s="35">
        <f t="shared" si="36"/>
        <v>47465</v>
      </c>
      <c r="H131" s="13" t="s">
        <v>384</v>
      </c>
      <c r="I131" s="58">
        <f t="shared" si="41"/>
        <v>19</v>
      </c>
      <c r="J131" s="58">
        <f t="shared" si="42"/>
        <v>11</v>
      </c>
      <c r="K131" s="57">
        <f t="shared" si="43"/>
        <v>0</v>
      </c>
      <c r="L131" s="13">
        <f t="shared" si="44"/>
        <v>0</v>
      </c>
      <c r="M131" s="13">
        <f t="shared" si="45"/>
        <v>0</v>
      </c>
      <c r="N131" s="59">
        <f t="shared" si="46"/>
        <v>0</v>
      </c>
    </row>
    <row r="132" spans="1:14" x14ac:dyDescent="0.25">
      <c r="A132" s="35">
        <f t="shared" si="36"/>
        <v>47496</v>
      </c>
      <c r="H132" s="13" t="s">
        <v>385</v>
      </c>
      <c r="I132" s="58">
        <f t="shared" si="41"/>
        <v>19</v>
      </c>
      <c r="J132" s="58">
        <f t="shared" si="42"/>
        <v>13</v>
      </c>
      <c r="K132" s="57">
        <f t="shared" si="43"/>
        <v>0</v>
      </c>
      <c r="L132" s="13">
        <f t="shared" si="44"/>
        <v>0</v>
      </c>
      <c r="M132" s="13">
        <f t="shared" si="45"/>
        <v>0</v>
      </c>
      <c r="N132" s="59">
        <f t="shared" si="46"/>
        <v>0</v>
      </c>
    </row>
    <row r="133" spans="1:14" x14ac:dyDescent="0.25">
      <c r="A133" s="35">
        <f t="shared" si="36"/>
        <v>47527</v>
      </c>
      <c r="H133" s="13" t="s">
        <v>386</v>
      </c>
      <c r="I133" s="58">
        <f t="shared" si="41"/>
        <v>19</v>
      </c>
      <c r="J133" s="58">
        <f t="shared" si="42"/>
        <v>15</v>
      </c>
      <c r="K133" s="57">
        <f t="shared" si="43"/>
        <v>0</v>
      </c>
      <c r="L133" s="13">
        <f t="shared" si="44"/>
        <v>0</v>
      </c>
      <c r="M133" s="13">
        <f t="shared" si="45"/>
        <v>0</v>
      </c>
      <c r="N133" s="59">
        <f t="shared" si="46"/>
        <v>0</v>
      </c>
    </row>
    <row r="134" spans="1:14" x14ac:dyDescent="0.25">
      <c r="A134" s="35">
        <f t="shared" si="36"/>
        <v>47558</v>
      </c>
      <c r="H134" s="13" t="s">
        <v>387</v>
      </c>
      <c r="I134" s="58">
        <f t="shared" si="41"/>
        <v>19</v>
      </c>
      <c r="J134" s="58">
        <f t="shared" si="42"/>
        <v>17</v>
      </c>
      <c r="K134" s="57">
        <f t="shared" si="43"/>
        <v>0</v>
      </c>
      <c r="L134" s="13">
        <f t="shared" si="44"/>
        <v>0</v>
      </c>
      <c r="M134" s="13">
        <f t="shared" si="45"/>
        <v>0</v>
      </c>
      <c r="N134" s="59">
        <f t="shared" si="46"/>
        <v>0</v>
      </c>
    </row>
    <row r="135" spans="1:14" x14ac:dyDescent="0.25">
      <c r="A135" s="35">
        <f t="shared" si="36"/>
        <v>47589</v>
      </c>
      <c r="H135" s="13" t="s">
        <v>388</v>
      </c>
      <c r="I135" s="58">
        <f>I134+1</f>
        <v>20</v>
      </c>
      <c r="J135" s="58">
        <f>J128</f>
        <v>5</v>
      </c>
      <c r="K135" s="57" t="str">
        <f t="shared" si="43"/>
        <v>Fulano da Silva</v>
      </c>
      <c r="L135" s="13">
        <f t="shared" si="44"/>
        <v>0</v>
      </c>
      <c r="M135" s="13">
        <f t="shared" si="45"/>
        <v>0</v>
      </c>
      <c r="N135" s="59">
        <f t="shared" si="46"/>
        <v>12345</v>
      </c>
    </row>
    <row r="136" spans="1:14" x14ac:dyDescent="0.25">
      <c r="A136" s="35">
        <f t="shared" si="36"/>
        <v>47620</v>
      </c>
      <c r="H136" s="13" t="s">
        <v>389</v>
      </c>
      <c r="I136" s="58">
        <f t="shared" ref="I136:I141" si="47">I135</f>
        <v>20</v>
      </c>
      <c r="J136" s="58">
        <f>J135+2</f>
        <v>7</v>
      </c>
      <c r="K136" s="57">
        <f t="shared" si="43"/>
        <v>0</v>
      </c>
      <c r="L136" s="13">
        <f t="shared" si="44"/>
        <v>0</v>
      </c>
      <c r="M136" s="13">
        <f t="shared" si="45"/>
        <v>0</v>
      </c>
      <c r="N136" s="59">
        <f t="shared" si="46"/>
        <v>0</v>
      </c>
    </row>
    <row r="137" spans="1:14" x14ac:dyDescent="0.25">
      <c r="A137" s="35">
        <f t="shared" si="36"/>
        <v>47651</v>
      </c>
      <c r="H137" s="13" t="s">
        <v>390</v>
      </c>
      <c r="I137" s="58">
        <f t="shared" si="47"/>
        <v>20</v>
      </c>
      <c r="J137" s="58">
        <f t="shared" ref="J137:J141" si="48">J136+2</f>
        <v>9</v>
      </c>
      <c r="K137" s="57">
        <f t="shared" si="43"/>
        <v>0</v>
      </c>
      <c r="L137" s="13">
        <f t="shared" si="44"/>
        <v>0</v>
      </c>
      <c r="M137" s="13">
        <f t="shared" si="45"/>
        <v>0</v>
      </c>
      <c r="N137" s="59">
        <f t="shared" si="46"/>
        <v>0</v>
      </c>
    </row>
    <row r="138" spans="1:14" x14ac:dyDescent="0.25">
      <c r="A138" s="35">
        <f t="shared" ref="A138:A150" si="49">A137+31</f>
        <v>47682</v>
      </c>
      <c r="H138" s="13" t="s">
        <v>391</v>
      </c>
      <c r="I138" s="58">
        <f t="shared" si="47"/>
        <v>20</v>
      </c>
      <c r="J138" s="58">
        <f t="shared" si="48"/>
        <v>11</v>
      </c>
      <c r="K138" s="57">
        <f t="shared" si="43"/>
        <v>0</v>
      </c>
      <c r="L138" s="13">
        <f t="shared" si="44"/>
        <v>0</v>
      </c>
      <c r="M138" s="13">
        <f t="shared" si="45"/>
        <v>0</v>
      </c>
      <c r="N138" s="59">
        <f t="shared" si="46"/>
        <v>0</v>
      </c>
    </row>
    <row r="139" spans="1:14" x14ac:dyDescent="0.25">
      <c r="A139" s="35">
        <f t="shared" si="49"/>
        <v>47713</v>
      </c>
      <c r="H139" s="13" t="s">
        <v>392</v>
      </c>
      <c r="I139" s="58">
        <f t="shared" si="47"/>
        <v>20</v>
      </c>
      <c r="J139" s="58">
        <f t="shared" si="48"/>
        <v>13</v>
      </c>
      <c r="K139" s="57">
        <f t="shared" si="43"/>
        <v>0</v>
      </c>
      <c r="L139" s="13">
        <f t="shared" si="44"/>
        <v>0</v>
      </c>
      <c r="M139" s="13">
        <f t="shared" si="45"/>
        <v>0</v>
      </c>
      <c r="N139" s="59">
        <f t="shared" si="46"/>
        <v>0</v>
      </c>
    </row>
    <row r="140" spans="1:14" x14ac:dyDescent="0.25">
      <c r="A140" s="35">
        <f t="shared" si="49"/>
        <v>47744</v>
      </c>
      <c r="H140" s="13" t="s">
        <v>393</v>
      </c>
      <c r="I140" s="58">
        <f t="shared" si="47"/>
        <v>20</v>
      </c>
      <c r="J140" s="58">
        <f t="shared" si="48"/>
        <v>15</v>
      </c>
      <c r="K140" s="57">
        <f t="shared" si="43"/>
        <v>0</v>
      </c>
      <c r="L140" s="13">
        <f t="shared" si="44"/>
        <v>0</v>
      </c>
      <c r="M140" s="13">
        <f t="shared" si="45"/>
        <v>0</v>
      </c>
      <c r="N140" s="59">
        <f t="shared" si="46"/>
        <v>0</v>
      </c>
    </row>
    <row r="141" spans="1:14" x14ac:dyDescent="0.25">
      <c r="A141" s="35">
        <f t="shared" si="49"/>
        <v>47775</v>
      </c>
      <c r="H141" s="13" t="s">
        <v>394</v>
      </c>
      <c r="I141" s="58">
        <f t="shared" si="47"/>
        <v>20</v>
      </c>
      <c r="J141" s="58">
        <f t="shared" si="48"/>
        <v>17</v>
      </c>
      <c r="K141" s="57">
        <f t="shared" si="43"/>
        <v>0</v>
      </c>
      <c r="L141" s="13">
        <f t="shared" si="44"/>
        <v>0</v>
      </c>
      <c r="M141" s="13">
        <f t="shared" si="45"/>
        <v>0</v>
      </c>
      <c r="N141" s="59">
        <f t="shared" si="46"/>
        <v>0</v>
      </c>
    </row>
    <row r="142" spans="1:14" x14ac:dyDescent="0.25">
      <c r="A142" s="35">
        <f t="shared" si="49"/>
        <v>47806</v>
      </c>
    </row>
    <row r="143" spans="1:14" x14ac:dyDescent="0.25">
      <c r="A143" s="35">
        <f t="shared" si="49"/>
        <v>47837</v>
      </c>
    </row>
    <row r="144" spans="1:14" x14ac:dyDescent="0.25">
      <c r="A144" s="35">
        <f t="shared" si="49"/>
        <v>47868</v>
      </c>
    </row>
    <row r="145" spans="1:1" x14ac:dyDescent="0.25">
      <c r="A145" s="35">
        <f t="shared" si="49"/>
        <v>47899</v>
      </c>
    </row>
    <row r="146" spans="1:1" x14ac:dyDescent="0.25">
      <c r="A146" s="35">
        <f t="shared" si="49"/>
        <v>47930</v>
      </c>
    </row>
    <row r="147" spans="1:1" x14ac:dyDescent="0.25">
      <c r="A147" s="35">
        <f t="shared" si="49"/>
        <v>47961</v>
      </c>
    </row>
    <row r="148" spans="1:1" x14ac:dyDescent="0.25">
      <c r="A148" s="35">
        <f t="shared" si="49"/>
        <v>47992</v>
      </c>
    </row>
    <row r="149" spans="1:1" x14ac:dyDescent="0.25">
      <c r="A149" s="35">
        <f t="shared" si="49"/>
        <v>48023</v>
      </c>
    </row>
    <row r="150" spans="1:1" x14ac:dyDescent="0.25">
      <c r="A150" s="35">
        <f t="shared" si="49"/>
        <v>48054</v>
      </c>
    </row>
  </sheetData>
  <sheetProtection algorithmName="SHA-512" hashValue="gLi38Q3T7wVAeni/uXbnTGIhnryp5OkL0Pn2PAcBd4EK1bZDZRgRLyMCqtW8V8xARz8bT/cNpKmGmsJPkeK3vA==" saltValue="uMGVmgAxLvmu9+0LAu3Ymg==" spinCount="100000" sheet="1" objects="1" scenarios="1" selectLockedCells="1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EED12-6206-45BF-B524-76077454FE8B}">
  <sheetPr codeName="Planilha3"/>
  <dimension ref="A1:AH49"/>
  <sheetViews>
    <sheetView showGridLines="0" showRowColHeaders="0" topLeftCell="A4" zoomScale="145" zoomScaleNormal="145" workbookViewId="0">
      <selection activeCell="R43" sqref="R43"/>
    </sheetView>
  </sheetViews>
  <sheetFormatPr defaultColWidth="0" defaultRowHeight="15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104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113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 t="s">
        <v>45</v>
      </c>
      <c r="I8" s="81"/>
      <c r="J8" s="81"/>
      <c r="K8" s="81"/>
      <c r="L8" s="14"/>
      <c r="M8" s="97" t="s">
        <v>8</v>
      </c>
      <c r="N8" s="97"/>
      <c r="O8" s="97"/>
      <c r="P8" s="97"/>
      <c r="Q8" s="97"/>
      <c r="R8" s="83" t="s">
        <v>111</v>
      </c>
      <c r="S8" s="83"/>
      <c r="T8" s="83"/>
      <c r="U8" s="83"/>
      <c r="V8" s="83"/>
      <c r="W8" s="98" t="s">
        <v>59</v>
      </c>
      <c r="X8" s="99"/>
      <c r="Y8" s="99"/>
      <c r="Z8" s="78" t="s">
        <v>112</v>
      </c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123">
        <v>43497</v>
      </c>
      <c r="I11" s="124"/>
      <c r="J11" s="124"/>
      <c r="K11" s="124"/>
      <c r="L11" s="124"/>
      <c r="M11" s="124"/>
      <c r="N11" s="124"/>
      <c r="O11" s="124"/>
      <c r="P11" s="124"/>
      <c r="Q11" s="124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125">
        <v>43708</v>
      </c>
      <c r="AC11" s="126"/>
      <c r="AD11" s="126"/>
      <c r="AE11" s="126"/>
      <c r="AF11" s="126"/>
      <c r="AG11" s="127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12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4"/>
      <c r="Z40" s="109"/>
      <c r="AA40" s="110"/>
      <c r="AB40" s="110"/>
      <c r="AC40" s="111"/>
      <c r="AD40" s="109"/>
      <c r="AE40" s="110"/>
      <c r="AF40" s="110"/>
      <c r="AG40" s="111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  <row r="49" x14ac:dyDescent="0.25"/>
  </sheetData>
  <sheetProtection algorithmName="SHA-512" hashValue="ltm6nDnVKQ0+xxLRy/VPbCMaKsZ2obRDmFv5w3qJ9gUPQzqoiWhkap41IxIOPjXAlCE6gtEyPHnp8XJ6eUfksA==" saltValue="y6cM0cSj8FwNKPQ94Dh2ew==" spinCount="100000" sheet="1"/>
  <mergeCells count="115">
    <mergeCell ref="A43:G43"/>
    <mergeCell ref="A45:G45"/>
    <mergeCell ref="K45:S45"/>
    <mergeCell ref="V45:AB45"/>
    <mergeCell ref="A46:G46"/>
    <mergeCell ref="B40:Y40"/>
    <mergeCell ref="Z40:AC40"/>
    <mergeCell ref="AD40:AG40"/>
    <mergeCell ref="B41:Y41"/>
    <mergeCell ref="Z41:AC41"/>
    <mergeCell ref="AD41:AG41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9:G9"/>
    <mergeCell ref="H9:AG9"/>
    <mergeCell ref="A10:G10"/>
    <mergeCell ref="H10:AG10"/>
    <mergeCell ref="A11:G11"/>
    <mergeCell ref="H11:Q11"/>
    <mergeCell ref="R11:AA11"/>
    <mergeCell ref="AB11:AG11"/>
    <mergeCell ref="A8:G8"/>
    <mergeCell ref="H8:K8"/>
    <mergeCell ref="M8:Q8"/>
    <mergeCell ref="R8:V8"/>
    <mergeCell ref="W8:Y8"/>
    <mergeCell ref="Z8:AG8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325A7192-2065-44C8-BAC9-369B6E518D1D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date" allowBlank="1" showInputMessage="1" showErrorMessage="1" error="DD/MM/AAAA" xr:uid="{4E818C5E-7F8F-4C36-8798-E69119FC0863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28C6D7D5-7012-4DE9-940E-CFC1C2C5EB51}">
          <x14:formula1>
            <xm:f>Listas!C1</xm:f>
          </x14:formula1>
          <x14:formula2>
            <xm:f>Listas!C2</xm:f>
          </x14:formula2>
          <xm:sqref>H11:Q11</xm:sqref>
        </x14:dataValidation>
        <x14:dataValidation type="date" allowBlank="1" showInputMessage="1" showErrorMessage="1" error="DD/MM/AAAA" xr:uid="{DB9B269C-B8DE-4A31-883F-07CFE9CE3AD5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2060E-10B4-4FA5-97DA-5652EBB7025E}">
  <sheetPr codeName="Planilha4"/>
  <dimension ref="A1:AH49"/>
  <sheetViews>
    <sheetView showGridLines="0" showRowColHeaders="0" workbookViewId="0">
      <selection activeCell="B32" sqref="B32:AG41"/>
    </sheetView>
  </sheetViews>
  <sheetFormatPr defaultColWidth="0" defaultRowHeight="15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104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113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 t="s">
        <v>45</v>
      </c>
      <c r="I8" s="81"/>
      <c r="J8" s="81"/>
      <c r="K8" s="81"/>
      <c r="L8" s="14"/>
      <c r="M8" s="97" t="s">
        <v>8</v>
      </c>
      <c r="N8" s="97"/>
      <c r="O8" s="97"/>
      <c r="P8" s="97"/>
      <c r="Q8" s="97"/>
      <c r="R8" s="83" t="s">
        <v>111</v>
      </c>
      <c r="S8" s="83"/>
      <c r="T8" s="83"/>
      <c r="U8" s="83"/>
      <c r="V8" s="83"/>
      <c r="W8" s="98" t="s">
        <v>59</v>
      </c>
      <c r="X8" s="99"/>
      <c r="Y8" s="99"/>
      <c r="Z8" s="78" t="s">
        <v>112</v>
      </c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123">
        <v>43497</v>
      </c>
      <c r="I11" s="124"/>
      <c r="J11" s="124"/>
      <c r="K11" s="124"/>
      <c r="L11" s="124"/>
      <c r="M11" s="124"/>
      <c r="N11" s="124"/>
      <c r="O11" s="124"/>
      <c r="P11" s="124"/>
      <c r="Q11" s="124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125">
        <v>43708</v>
      </c>
      <c r="AC11" s="126"/>
      <c r="AD11" s="126"/>
      <c r="AE11" s="126"/>
      <c r="AF11" s="126"/>
      <c r="AG11" s="127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12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4"/>
      <c r="Z40" s="109"/>
      <c r="AA40" s="110"/>
      <c r="AB40" s="110"/>
      <c r="AC40" s="111"/>
      <c r="AD40" s="109"/>
      <c r="AE40" s="110"/>
      <c r="AF40" s="110"/>
      <c r="AG40" s="111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  <row r="49" x14ac:dyDescent="0.25"/>
  </sheetData>
  <sheetProtection algorithmName="SHA-512" hashValue="kCcjuzGnjqxLTjzkHJcvkPZt+s0z6qShAawbsSXsheb0Gv43oNdV5ktw5xWu9Fg/2Yf37KqHQNlG6ubQv1sFpw==" saltValue="4tprWof2psLKcd5RqE+Yyg==" spinCount="100000" sheet="1"/>
  <mergeCells count="115">
    <mergeCell ref="A43:G43"/>
    <mergeCell ref="A45:G45"/>
    <mergeCell ref="K45:S45"/>
    <mergeCell ref="V45:AB45"/>
    <mergeCell ref="A46:G46"/>
    <mergeCell ref="B40:Y40"/>
    <mergeCell ref="Z40:AC40"/>
    <mergeCell ref="AD40:AG40"/>
    <mergeCell ref="B41:Y41"/>
    <mergeCell ref="Z41:AC41"/>
    <mergeCell ref="AD41:AG41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9:G9"/>
    <mergeCell ref="H9:AG9"/>
    <mergeCell ref="A10:G10"/>
    <mergeCell ref="H10:AG10"/>
    <mergeCell ref="A11:G11"/>
    <mergeCell ref="H11:Q11"/>
    <mergeCell ref="R11:AA11"/>
    <mergeCell ref="AB11:AG11"/>
    <mergeCell ref="A8:G8"/>
    <mergeCell ref="H8:K8"/>
    <mergeCell ref="M8:Q8"/>
    <mergeCell ref="R8:V8"/>
    <mergeCell ref="W8:Y8"/>
    <mergeCell ref="Z8:AG8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9127197D-4B77-4065-8CB1-03F023ACCB67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date" allowBlank="1" showInputMessage="1" showErrorMessage="1" error="DD/MM/AAAA" xr:uid="{9C5A5DA7-35BC-48B9-9C84-296426EF6674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74571A10-80D1-4092-93F7-508D05B3DC0C}">
          <x14:formula1>
            <xm:f>Listas!C1</xm:f>
          </x14:formula1>
          <x14:formula2>
            <xm:f>Listas!C2</xm:f>
          </x14:formula2>
          <xm:sqref>H11:Q11</xm:sqref>
        </x14:dataValidation>
        <x14:dataValidation type="date" allowBlank="1" showInputMessage="1" showErrorMessage="1" error="DD/MM/AAAA" xr:uid="{5D033DA6-EA8C-4DDE-B386-AD1CDC0A72C3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957A2-DBA2-4519-931B-5933C0F9269E}">
  <sheetPr codeName="Planilha5"/>
  <dimension ref="A1:AH48"/>
  <sheetViews>
    <sheetView showGridLines="0" showRowColHeaders="0" zoomScale="85" zoomScaleNormal="85" workbookViewId="0">
      <selection activeCell="B32" sqref="B32:AG36"/>
    </sheetView>
  </sheetViews>
  <sheetFormatPr defaultColWidth="0" defaultRowHeight="15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bF7xv1U/DtQiLnDKWKUcypvJCbVQhcXFPrAAWjkuItGRQaFj3Wnohaa+dIKwMBEWDu9aWpEwlfXsYLhHmX3fuw==" saltValue="EZvvD93dGlx5Ei6fkx46Og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CF006F1A-11F4-4355-A5FB-0217039ABCC3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date" allowBlank="1" showInputMessage="1" showErrorMessage="1" error="DD/MM/AAAA" xr:uid="{3CFA4291-F850-4182-B5D4-01387C53795C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639B4F0D-49DE-4B37-BCCB-D77D56A30F86}">
          <x14:formula1>
            <xm:f>Listas!C1</xm:f>
          </x14:formula1>
          <x14:formula2>
            <xm:f>Listas!C2</xm:f>
          </x14:formula2>
          <xm:sqref>AB11:AG11</xm:sqref>
        </x14:dataValidation>
        <x14:dataValidation type="date" allowBlank="1" showInputMessage="1" showErrorMessage="1" error="DD/MM/AAAA" xr:uid="{371CE215-F3BF-4F1F-B242-FC33805102D4}">
          <x14:formula1>
            <xm:f>Listas!C1</xm:f>
          </x14:formula1>
          <x14:formula2>
            <xm:f>Listas!C2</xm:f>
          </x14:formula2>
          <xm:sqref>H11:Q11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DF5D7-59D4-40D8-8E77-A36DFB370FEC}">
  <sheetPr codeName="Planilha6"/>
  <dimension ref="A1:AH48"/>
  <sheetViews>
    <sheetView showGridLines="0" showRowColHeaders="0" workbookViewId="0">
      <selection activeCell="B32" sqref="B32:AG33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cTARwuzZBHyj6cg8fVpdXV9ayoYFMLZHwW8bonXAutP9a5Ct4hAcBWRxNpB3LdVBGSjh+NfyUUi4RcEwb+PgTQ==" saltValue="2JRiLlUAZ1e3Am9r0KTSYQ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F8627ED6-6209-4B4B-8785-DEFDB0B1BAF6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84CBA446-B3E4-4DF6-B6C9-5AE622E472D2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33CB7F42-E771-40D0-A8BE-D3F5C68F96B7}">
          <x14:formula1>
            <xm:f>Listas!C1</xm:f>
          </x14:formula1>
          <x14:formula2>
            <xm:f>Listas!C2</xm:f>
          </x14:formula2>
          <xm:sqref>AB11:AG11</xm:sqref>
        </x14:dataValidation>
        <x14:dataValidation type="date" allowBlank="1" showInputMessage="1" showErrorMessage="1" error="DD/MM/AAAA" xr:uid="{5509D3CE-DA9A-47AB-AD9E-28969BE7106E}">
          <x14:formula1>
            <xm:f>Listas!A2+Listas!F1</xm:f>
          </x14:formula1>
          <x14:formula2>
            <xm:f>Listas!F2</xm:f>
          </x14:formula2>
          <xm:sqref>K11:Q11</xm:sqref>
        </x14:dataValidation>
        <x14:dataValidation type="date" allowBlank="1" showInputMessage="1" showErrorMessage="1" error="DD/MM/AAAA" xr:uid="{C03214F6-6FEA-4A71-BD76-1EE5A464C575}">
          <x14:formula1>
            <xm:f>Listas!A2+Listas!E1</xm:f>
          </x14:formula1>
          <x14:formula2>
            <xm:f>Listas!E2</xm:f>
          </x14:formula2>
          <xm:sqref>J11</xm:sqref>
        </x14:dataValidation>
        <x14:dataValidation type="date" allowBlank="1" showInputMessage="1" showErrorMessage="1" error="DD/MM/AAAA" xr:uid="{1D944E95-1967-430F-AD51-5D37FFE65A83}">
          <x14:formula1>
            <xm:f>Listas!XFA1+Listas!C1</xm:f>
          </x14:formula1>
          <x14:formula2>
            <xm:f>Listas!C2</xm:f>
          </x14:formula2>
          <xm:sqref>H11:I11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7D42E-97A4-46CA-A7C6-C133A062FF9A}">
  <sheetPr codeName="Planilha7"/>
  <dimension ref="A1:AH48"/>
  <sheetViews>
    <sheetView showGridLines="0" showRowColHeaders="0" workbookViewId="0">
      <selection activeCell="B32" sqref="B32:AG34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lvEXqT8fpk2f5/lP3jDVWVvXx6IwZ3M3GwWQMhBRAOZmCnuuzxFiCG+aHOLphW7jXfkdfMvx9GsAK++61eqQ9g==" saltValue="CiBmUnuXy4GZpcI2Y4bLrA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ACC8A65E-D567-45A4-A18F-F6227EF55A7B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date" allowBlank="1" showInputMessage="1" showErrorMessage="1" error="DD/MM/AAAA" xr:uid="{4E634562-440F-4C32-986B-DFC169632FB6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E168CB16-FB61-43F7-9A00-C353AEA711AC}">
          <x14:formula1>
            <xm:f>Listas!C1</xm:f>
          </x14:formula1>
          <x14:formula2>
            <xm:f>Listas!C2</xm:f>
          </x14:formula2>
          <xm:sqref>AB11:AG11</xm:sqref>
        </x14:dataValidation>
        <x14:dataValidation type="date" allowBlank="1" showInputMessage="1" showErrorMessage="1" error="DD/MM/AAAA" xr:uid="{20EC13A4-7D9B-40CD-90E3-B87710586B63}">
          <x14:formula1>
            <xm:f>Listas!A2+Listas!F1</xm:f>
          </x14:formula1>
          <x14:formula2>
            <xm:f>Listas!F2</xm:f>
          </x14:formula2>
          <xm:sqref>K11:Q11</xm:sqref>
        </x14:dataValidation>
        <x14:dataValidation type="date" allowBlank="1" showInputMessage="1" showErrorMessage="1" error="DD/MM/AAAA" xr:uid="{43FAA703-0725-470E-BE6B-84DB2343A142}">
          <x14:formula1>
            <xm:f>Listas!A2+Listas!E1</xm:f>
          </x14:formula1>
          <x14:formula2>
            <xm:f>Listas!E2</xm:f>
          </x14:formula2>
          <xm:sqref>J11</xm:sqref>
        </x14:dataValidation>
        <x14:dataValidation type="date" allowBlank="1" showInputMessage="1" showErrorMessage="1" error="DD/MM/AAAA" xr:uid="{167059C5-C325-4A6A-93E4-93CCD7E5AC5B}">
          <x14:formula1>
            <xm:f>Listas!XFA1+Listas!C1</xm:f>
          </x14:formula1>
          <x14:formula2>
            <xm:f>Listas!C2</xm:f>
          </x14:formula2>
          <xm:sqref>H11:I11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46F74-7D3E-497B-9482-2E974B2F8D2D}">
  <sheetPr codeName="Planilha8"/>
  <dimension ref="A1:AH48"/>
  <sheetViews>
    <sheetView showGridLines="0" showRowColHeaders="0" topLeftCell="A25" workbookViewId="0">
      <selection activeCell="B32" sqref="B32:AG32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HNRKDzjK42PRKd/RdFn08zDke6cFglTShEgcSNy668sO0qXC1YcDlVCsN6cilWHAFnNKkff8ZSNwMg0AxaZWJA==" saltValue="+luAcN9oP366iOsndQWqZw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2D2239AA-2EC0-4E99-B69A-95E7C384357A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date" allowBlank="1" showInputMessage="1" showErrorMessage="1" error="DD/MM/AAAA" xr:uid="{A97BBFC0-D4E3-448A-A059-EBA3E810A6DD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EEA64377-9E10-4E6B-AFF3-B111D8C99F4F}">
          <x14:formula1>
            <xm:f>Listas!C1</xm:f>
          </x14:formula1>
          <x14:formula2>
            <xm:f>Listas!C2</xm:f>
          </x14:formula2>
          <xm:sqref>AB11:AG11</xm:sqref>
        </x14:dataValidation>
        <x14:dataValidation type="date" allowBlank="1" showInputMessage="1" showErrorMessage="1" error="DD/MM/AAAA" xr:uid="{0472894B-3441-4CDB-AB81-F0ACEDEABB6C}">
          <x14:formula1>
            <xm:f>Listas!C1</xm:f>
          </x14:formula1>
          <x14:formula2>
            <xm:f>Listas!C2</xm:f>
          </x14:formula2>
          <xm:sqref>H11:Q11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45070-5F56-4C9F-8097-CCE7A2EDF0E4}">
  <sheetPr codeName="Planilha9"/>
  <dimension ref="A1:AH48"/>
  <sheetViews>
    <sheetView showGridLines="0" showRowColHeaders="0" topLeftCell="A7" workbookViewId="0">
      <selection activeCell="B31" sqref="B31:Y31"/>
    </sheetView>
  </sheetViews>
  <sheetFormatPr defaultColWidth="0" defaultRowHeight="15" customHeight="1" zeroHeight="1" x14ac:dyDescent="0.25"/>
  <cols>
    <col min="1" max="34" width="3" customWidth="1"/>
    <col min="35" max="16384" width="9.140625" hidden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3.25" x14ac:dyDescent="0.35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2"/>
    </row>
    <row r="3" spans="1:3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"/>
    </row>
    <row r="4" spans="1:34" ht="18.75" x14ac:dyDescent="0.3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4"/>
    </row>
    <row r="5" spans="1:34" x14ac:dyDescent="0.25">
      <c r="A5" s="73" t="s">
        <v>2</v>
      </c>
      <c r="B5" s="73"/>
      <c r="C5" s="73"/>
      <c r="D5" s="73"/>
      <c r="E5" s="73"/>
      <c r="F5" s="73"/>
      <c r="G5" s="73"/>
      <c r="H5" s="74" t="s">
        <v>3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6"/>
      <c r="AH5" s="1"/>
    </row>
    <row r="6" spans="1:34" x14ac:dyDescent="0.25">
      <c r="A6" s="73" t="s">
        <v>4</v>
      </c>
      <c r="B6" s="73"/>
      <c r="C6" s="73"/>
      <c r="D6" s="73"/>
      <c r="E6" s="73"/>
      <c r="F6" s="73"/>
      <c r="G6" s="73"/>
      <c r="H6" s="74" t="s">
        <v>5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1"/>
    </row>
    <row r="7" spans="1:34" x14ac:dyDescent="0.25">
      <c r="A7" s="73" t="s">
        <v>6</v>
      </c>
      <c r="B7" s="73"/>
      <c r="C7" s="73"/>
      <c r="D7" s="73"/>
      <c r="E7" s="73"/>
      <c r="F7" s="73"/>
      <c r="G7" s="73"/>
      <c r="H7" s="87" t="s">
        <v>105</v>
      </c>
      <c r="I7" s="88"/>
      <c r="J7" s="88"/>
      <c r="K7" s="88"/>
      <c r="L7" s="89"/>
      <c r="M7" s="87"/>
      <c r="N7" s="88"/>
      <c r="O7" s="88"/>
      <c r="P7" s="88"/>
      <c r="Q7" s="89"/>
      <c r="R7" s="87"/>
      <c r="S7" s="88"/>
      <c r="T7" s="88"/>
      <c r="U7" s="88"/>
      <c r="V7" s="88"/>
      <c r="W7" s="89"/>
      <c r="X7" s="87"/>
      <c r="Y7" s="88"/>
      <c r="Z7" s="88"/>
      <c r="AA7" s="88"/>
      <c r="AB7" s="88"/>
      <c r="AC7" s="89"/>
      <c r="AD7" s="87"/>
      <c r="AE7" s="88"/>
      <c r="AF7" s="88"/>
      <c r="AG7" s="89"/>
      <c r="AH7" s="1"/>
    </row>
    <row r="8" spans="1:34" x14ac:dyDescent="0.25">
      <c r="A8" s="73" t="s">
        <v>7</v>
      </c>
      <c r="B8" s="73"/>
      <c r="C8" s="73"/>
      <c r="D8" s="73"/>
      <c r="E8" s="73"/>
      <c r="F8" s="73"/>
      <c r="G8" s="73"/>
      <c r="H8" s="80"/>
      <c r="I8" s="81"/>
      <c r="J8" s="81"/>
      <c r="K8" s="81"/>
      <c r="L8" s="82"/>
      <c r="M8" s="97" t="s">
        <v>8</v>
      </c>
      <c r="N8" s="97"/>
      <c r="O8" s="97"/>
      <c r="P8" s="97"/>
      <c r="Q8" s="97"/>
      <c r="R8" s="83"/>
      <c r="S8" s="83"/>
      <c r="T8" s="83"/>
      <c r="U8" s="83"/>
      <c r="V8" s="83"/>
      <c r="W8" s="98" t="s">
        <v>59</v>
      </c>
      <c r="X8" s="99"/>
      <c r="Y8" s="99"/>
      <c r="Z8" s="78"/>
      <c r="AA8" s="78"/>
      <c r="AB8" s="78"/>
      <c r="AC8" s="78"/>
      <c r="AD8" s="78"/>
      <c r="AE8" s="78"/>
      <c r="AF8" s="78"/>
      <c r="AG8" s="79"/>
      <c r="AH8" s="1"/>
    </row>
    <row r="9" spans="1:34" x14ac:dyDescent="0.25">
      <c r="A9" s="73" t="s">
        <v>9</v>
      </c>
      <c r="B9" s="73"/>
      <c r="C9" s="73"/>
      <c r="D9" s="73"/>
      <c r="E9" s="73"/>
      <c r="F9" s="73"/>
      <c r="G9" s="73"/>
      <c r="H9" s="77" t="s">
        <v>10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1"/>
    </row>
    <row r="10" spans="1:34" x14ac:dyDescent="0.25">
      <c r="A10" s="73" t="s">
        <v>11</v>
      </c>
      <c r="B10" s="73"/>
      <c r="C10" s="73"/>
      <c r="D10" s="73"/>
      <c r="E10" s="73"/>
      <c r="F10" s="73"/>
      <c r="G10" s="73"/>
      <c r="H10" s="77" t="s">
        <v>12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1"/>
    </row>
    <row r="11" spans="1:34" x14ac:dyDescent="0.25">
      <c r="A11" s="73" t="s">
        <v>13</v>
      </c>
      <c r="B11" s="73"/>
      <c r="C11" s="73"/>
      <c r="D11" s="73"/>
      <c r="E11" s="73"/>
      <c r="F11" s="73"/>
      <c r="G11" s="7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4" t="s">
        <v>14</v>
      </c>
      <c r="S11" s="85"/>
      <c r="T11" s="85"/>
      <c r="U11" s="85"/>
      <c r="V11" s="85"/>
      <c r="W11" s="85"/>
      <c r="X11" s="85"/>
      <c r="Y11" s="85"/>
      <c r="Z11" s="85"/>
      <c r="AA11" s="86"/>
      <c r="AB11" s="80"/>
      <c r="AC11" s="81"/>
      <c r="AD11" s="81"/>
      <c r="AE11" s="81"/>
      <c r="AF11" s="81"/>
      <c r="AG11" s="82"/>
      <c r="AH11" s="1"/>
    </row>
    <row r="12" spans="1:34" ht="15" customHeight="1" x14ac:dyDescent="0.25">
      <c r="A12" s="90" t="s">
        <v>15</v>
      </c>
      <c r="B12" s="90"/>
      <c r="C12" s="90"/>
      <c r="D12" s="90"/>
      <c r="E12" s="90"/>
      <c r="F12" s="90"/>
      <c r="G12" s="90"/>
      <c r="H12" s="5">
        <v>1</v>
      </c>
      <c r="I12" s="91" t="s">
        <v>16</v>
      </c>
      <c r="J12" s="92"/>
      <c r="K12" s="92"/>
      <c r="L12" s="92"/>
      <c r="M12" s="92"/>
      <c r="N12" s="92"/>
      <c r="O12" s="92"/>
      <c r="P12" s="92"/>
      <c r="Q12" s="93"/>
      <c r="R12" s="119" t="s">
        <v>17</v>
      </c>
      <c r="S12" s="120"/>
      <c r="T12" s="120"/>
      <c r="U12" s="120"/>
      <c r="V12" s="120"/>
      <c r="W12" s="120"/>
      <c r="X12" s="120"/>
      <c r="Y12" s="120"/>
      <c r="Z12" s="121"/>
      <c r="AA12" s="116" t="s">
        <v>194</v>
      </c>
      <c r="AB12" s="117"/>
      <c r="AC12" s="118"/>
      <c r="AD12" s="95">
        <v>12345</v>
      </c>
      <c r="AE12" s="95"/>
      <c r="AF12" s="95"/>
      <c r="AG12" s="95"/>
      <c r="AH12" s="1"/>
    </row>
    <row r="13" spans="1:34" x14ac:dyDescent="0.25">
      <c r="A13" s="90"/>
      <c r="B13" s="90"/>
      <c r="C13" s="90"/>
      <c r="D13" s="90"/>
      <c r="E13" s="90"/>
      <c r="F13" s="90"/>
      <c r="G13" s="90"/>
      <c r="H13" s="5">
        <v>2</v>
      </c>
      <c r="I13" s="91"/>
      <c r="J13" s="92"/>
      <c r="K13" s="92"/>
      <c r="L13" s="92"/>
      <c r="M13" s="92"/>
      <c r="N13" s="92"/>
      <c r="O13" s="92"/>
      <c r="P13" s="92"/>
      <c r="Q13" s="93"/>
      <c r="R13" s="119"/>
      <c r="S13" s="120"/>
      <c r="T13" s="120"/>
      <c r="U13" s="120"/>
      <c r="V13" s="120"/>
      <c r="W13" s="120"/>
      <c r="X13" s="120"/>
      <c r="Y13" s="120"/>
      <c r="Z13" s="121"/>
      <c r="AA13" s="116"/>
      <c r="AB13" s="117"/>
      <c r="AC13" s="118"/>
      <c r="AD13" s="95"/>
      <c r="AE13" s="95"/>
      <c r="AF13" s="95"/>
      <c r="AG13" s="95"/>
      <c r="AH13" s="1"/>
    </row>
    <row r="14" spans="1:34" x14ac:dyDescent="0.25">
      <c r="A14" s="90"/>
      <c r="B14" s="90"/>
      <c r="C14" s="90"/>
      <c r="D14" s="90"/>
      <c r="E14" s="90"/>
      <c r="F14" s="90"/>
      <c r="G14" s="90"/>
      <c r="H14" s="5">
        <v>3</v>
      </c>
      <c r="I14" s="91"/>
      <c r="J14" s="92"/>
      <c r="K14" s="92"/>
      <c r="L14" s="92"/>
      <c r="M14" s="92"/>
      <c r="N14" s="92"/>
      <c r="O14" s="92"/>
      <c r="P14" s="92"/>
      <c r="Q14" s="93"/>
      <c r="R14" s="119"/>
      <c r="S14" s="120"/>
      <c r="T14" s="120"/>
      <c r="U14" s="120"/>
      <c r="V14" s="120"/>
      <c r="W14" s="120"/>
      <c r="X14" s="120"/>
      <c r="Y14" s="120"/>
      <c r="Z14" s="121"/>
      <c r="AA14" s="116"/>
      <c r="AB14" s="117"/>
      <c r="AC14" s="118"/>
      <c r="AD14" s="95"/>
      <c r="AE14" s="95"/>
      <c r="AF14" s="95"/>
      <c r="AG14" s="95"/>
      <c r="AH14" s="1"/>
    </row>
    <row r="15" spans="1:34" x14ac:dyDescent="0.25">
      <c r="A15" s="90"/>
      <c r="B15" s="90"/>
      <c r="C15" s="90"/>
      <c r="D15" s="90"/>
      <c r="E15" s="90"/>
      <c r="F15" s="90"/>
      <c r="G15" s="90"/>
      <c r="H15" s="6">
        <v>4</v>
      </c>
      <c r="I15" s="91"/>
      <c r="J15" s="92"/>
      <c r="K15" s="92"/>
      <c r="L15" s="92"/>
      <c r="M15" s="92"/>
      <c r="N15" s="92"/>
      <c r="O15" s="92"/>
      <c r="P15" s="92"/>
      <c r="Q15" s="93"/>
      <c r="R15" s="119"/>
      <c r="S15" s="120"/>
      <c r="T15" s="120"/>
      <c r="U15" s="120"/>
      <c r="V15" s="120"/>
      <c r="W15" s="120"/>
      <c r="X15" s="120"/>
      <c r="Y15" s="120"/>
      <c r="Z15" s="121"/>
      <c r="AA15" s="116"/>
      <c r="AB15" s="117"/>
      <c r="AC15" s="118"/>
      <c r="AD15" s="95"/>
      <c r="AE15" s="95"/>
      <c r="AF15" s="95"/>
      <c r="AG15" s="95"/>
      <c r="AH15" s="1"/>
    </row>
    <row r="16" spans="1:34" x14ac:dyDescent="0.25">
      <c r="A16" s="90"/>
      <c r="B16" s="90"/>
      <c r="C16" s="90"/>
      <c r="D16" s="90"/>
      <c r="E16" s="90"/>
      <c r="F16" s="90"/>
      <c r="G16" s="90"/>
      <c r="H16" s="6">
        <v>5</v>
      </c>
      <c r="I16" s="91"/>
      <c r="J16" s="92"/>
      <c r="K16" s="92"/>
      <c r="L16" s="92"/>
      <c r="M16" s="92"/>
      <c r="N16" s="92"/>
      <c r="O16" s="92"/>
      <c r="P16" s="92"/>
      <c r="Q16" s="93"/>
      <c r="R16" s="119"/>
      <c r="S16" s="120"/>
      <c r="T16" s="120"/>
      <c r="U16" s="120"/>
      <c r="V16" s="120"/>
      <c r="W16" s="120"/>
      <c r="X16" s="120"/>
      <c r="Y16" s="120"/>
      <c r="Z16" s="121"/>
      <c r="AA16" s="116"/>
      <c r="AB16" s="117"/>
      <c r="AC16" s="118"/>
      <c r="AD16" s="95"/>
      <c r="AE16" s="95"/>
      <c r="AF16" s="95"/>
      <c r="AG16" s="95"/>
      <c r="AH16" s="1"/>
    </row>
    <row r="17" spans="1:34" x14ac:dyDescent="0.25">
      <c r="A17" s="90"/>
      <c r="B17" s="90"/>
      <c r="C17" s="90"/>
      <c r="D17" s="90"/>
      <c r="E17" s="90"/>
      <c r="F17" s="90"/>
      <c r="G17" s="90"/>
      <c r="H17" s="6">
        <v>6</v>
      </c>
      <c r="I17" s="91"/>
      <c r="J17" s="92"/>
      <c r="K17" s="92"/>
      <c r="L17" s="92"/>
      <c r="M17" s="92"/>
      <c r="N17" s="92"/>
      <c r="O17" s="92"/>
      <c r="P17" s="92"/>
      <c r="Q17" s="93"/>
      <c r="R17" s="119"/>
      <c r="S17" s="120"/>
      <c r="T17" s="120"/>
      <c r="U17" s="120"/>
      <c r="V17" s="120"/>
      <c r="W17" s="120"/>
      <c r="X17" s="120"/>
      <c r="Y17" s="120"/>
      <c r="Z17" s="121"/>
      <c r="AA17" s="116"/>
      <c r="AB17" s="117"/>
      <c r="AC17" s="118"/>
      <c r="AD17" s="95"/>
      <c r="AE17" s="95"/>
      <c r="AF17" s="95"/>
      <c r="AG17" s="95"/>
      <c r="AH17" s="1"/>
    </row>
    <row r="18" spans="1:34" x14ac:dyDescent="0.25">
      <c r="A18" s="90"/>
      <c r="B18" s="90"/>
      <c r="C18" s="90"/>
      <c r="D18" s="90"/>
      <c r="E18" s="90"/>
      <c r="F18" s="90"/>
      <c r="G18" s="90"/>
      <c r="H18" s="6">
        <v>7</v>
      </c>
      <c r="I18" s="91"/>
      <c r="J18" s="92"/>
      <c r="K18" s="92"/>
      <c r="L18" s="92"/>
      <c r="M18" s="92"/>
      <c r="N18" s="92"/>
      <c r="O18" s="92"/>
      <c r="P18" s="92"/>
      <c r="Q18" s="93"/>
      <c r="R18" s="119"/>
      <c r="S18" s="120"/>
      <c r="T18" s="120"/>
      <c r="U18" s="120"/>
      <c r="V18" s="120"/>
      <c r="W18" s="120"/>
      <c r="X18" s="120"/>
      <c r="Y18" s="120"/>
      <c r="Z18" s="121"/>
      <c r="AA18" s="116"/>
      <c r="AB18" s="117"/>
      <c r="AC18" s="118"/>
      <c r="AD18" s="95"/>
      <c r="AE18" s="95"/>
      <c r="AF18" s="95"/>
      <c r="AG18" s="95"/>
      <c r="AH18" s="1"/>
    </row>
    <row r="19" spans="1:34" x14ac:dyDescent="0.25">
      <c r="A19" s="102"/>
      <c r="B19" s="102"/>
      <c r="C19" s="102"/>
      <c r="D19" s="102"/>
      <c r="E19" s="102"/>
      <c r="F19" s="102"/>
      <c r="G19" s="102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"/>
    </row>
    <row r="20" spans="1:34" ht="30" customHeight="1" x14ac:dyDescent="0.3">
      <c r="A20" s="104" t="s">
        <v>19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4"/>
    </row>
    <row r="21" spans="1:34" x14ac:dyDescent="0.25">
      <c r="A21" s="100" t="s">
        <v>20</v>
      </c>
      <c r="B21" s="100"/>
      <c r="C21" s="100"/>
      <c r="D21" s="100"/>
      <c r="E21" s="100"/>
      <c r="F21" s="100"/>
      <c r="G21" s="100"/>
      <c r="H21" s="101" t="s">
        <v>21</v>
      </c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"/>
    </row>
    <row r="22" spans="1:34" x14ac:dyDescent="0.25">
      <c r="A22" s="100" t="s">
        <v>22</v>
      </c>
      <c r="B22" s="100"/>
      <c r="C22" s="100"/>
      <c r="D22" s="100"/>
      <c r="E22" s="100"/>
      <c r="F22" s="100"/>
      <c r="G22" s="100"/>
      <c r="H22" s="101" t="s">
        <v>23</v>
      </c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"/>
    </row>
    <row r="23" spans="1:34" x14ac:dyDescent="0.25">
      <c r="A23" s="100" t="s">
        <v>24</v>
      </c>
      <c r="B23" s="100"/>
      <c r="C23" s="100"/>
      <c r="D23" s="100"/>
      <c r="E23" s="100"/>
      <c r="F23" s="100"/>
      <c r="G23" s="100"/>
      <c r="H23" s="101" t="s">
        <v>25</v>
      </c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"/>
    </row>
    <row r="24" spans="1:34" x14ac:dyDescent="0.25">
      <c r="A24" s="100" t="s">
        <v>26</v>
      </c>
      <c r="B24" s="100"/>
      <c r="C24" s="100"/>
      <c r="D24" s="100"/>
      <c r="E24" s="100"/>
      <c r="F24" s="100"/>
      <c r="G24" s="100"/>
      <c r="H24" s="101" t="s">
        <v>27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"/>
    </row>
    <row r="25" spans="1:34" x14ac:dyDescent="0.25">
      <c r="A25" s="100" t="s">
        <v>28</v>
      </c>
      <c r="B25" s="100"/>
      <c r="C25" s="100"/>
      <c r="D25" s="100"/>
      <c r="E25" s="100"/>
      <c r="F25" s="100"/>
      <c r="G25" s="100"/>
      <c r="H25" s="101" t="s">
        <v>29</v>
      </c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"/>
    </row>
    <row r="26" spans="1:34" x14ac:dyDescent="0.25">
      <c r="A26" s="100" t="s">
        <v>30</v>
      </c>
      <c r="B26" s="100"/>
      <c r="C26" s="100"/>
      <c r="D26" s="100"/>
      <c r="E26" s="100"/>
      <c r="F26" s="100"/>
      <c r="G26" s="100"/>
      <c r="H26" s="101" t="s">
        <v>31</v>
      </c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"/>
    </row>
    <row r="27" spans="1:34" x14ac:dyDescent="0.25">
      <c r="A27" s="100" t="s">
        <v>32</v>
      </c>
      <c r="B27" s="100"/>
      <c r="C27" s="100"/>
      <c r="D27" s="100"/>
      <c r="E27" s="100"/>
      <c r="F27" s="100"/>
      <c r="G27" s="100"/>
      <c r="H27" s="101" t="s">
        <v>33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"/>
    </row>
    <row r="28" spans="1:34" x14ac:dyDescent="0.25">
      <c r="A28" s="100" t="s">
        <v>34</v>
      </c>
      <c r="B28" s="100"/>
      <c r="C28" s="100"/>
      <c r="D28" s="100"/>
      <c r="E28" s="100"/>
      <c r="F28" s="100"/>
      <c r="G28" s="100"/>
      <c r="H28" s="101" t="s">
        <v>35</v>
      </c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"/>
    </row>
    <row r="29" spans="1:34" x14ac:dyDescent="0.25">
      <c r="A29" s="102"/>
      <c r="B29" s="102"/>
      <c r="C29" s="102"/>
      <c r="D29" s="102"/>
      <c r="E29" s="102"/>
      <c r="F29" s="102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"/>
    </row>
    <row r="30" spans="1:34" ht="26.25" customHeight="1" x14ac:dyDescent="0.3">
      <c r="A30" s="104" t="s">
        <v>36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4"/>
    </row>
    <row r="31" spans="1:34" ht="30" customHeight="1" x14ac:dyDescent="0.25">
      <c r="A31" s="7" t="s">
        <v>37</v>
      </c>
      <c r="B31" s="106" t="s">
        <v>38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8"/>
      <c r="Z31" s="106" t="s">
        <v>39</v>
      </c>
      <c r="AA31" s="107"/>
      <c r="AB31" s="107"/>
      <c r="AC31" s="107"/>
      <c r="AD31" s="105" t="s">
        <v>40</v>
      </c>
      <c r="AE31" s="105"/>
      <c r="AF31" s="105"/>
      <c r="AG31" s="105"/>
      <c r="AH31" s="1"/>
    </row>
    <row r="32" spans="1:34" x14ac:dyDescent="0.25">
      <c r="A32" s="21">
        <v>1</v>
      </c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109"/>
      <c r="AA32" s="110"/>
      <c r="AB32" s="110"/>
      <c r="AC32" s="111"/>
      <c r="AD32" s="109"/>
      <c r="AE32" s="110"/>
      <c r="AF32" s="110"/>
      <c r="AG32" s="111"/>
      <c r="AH32" s="1"/>
    </row>
    <row r="33" spans="1:34" x14ac:dyDescent="0.25">
      <c r="A33" s="21">
        <f>A32+1</f>
        <v>2</v>
      </c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109"/>
      <c r="AA33" s="110"/>
      <c r="AB33" s="110"/>
      <c r="AC33" s="111"/>
      <c r="AD33" s="109"/>
      <c r="AE33" s="110"/>
      <c r="AF33" s="110"/>
      <c r="AG33" s="111"/>
      <c r="AH33" s="1"/>
    </row>
    <row r="34" spans="1:34" x14ac:dyDescent="0.25">
      <c r="A34" s="21">
        <f t="shared" ref="A34:A41" si="0">A33+1</f>
        <v>3</v>
      </c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109"/>
      <c r="AA34" s="110"/>
      <c r="AB34" s="110"/>
      <c r="AC34" s="111"/>
      <c r="AD34" s="109"/>
      <c r="AE34" s="110"/>
      <c r="AF34" s="110"/>
      <c r="AG34" s="111"/>
      <c r="AH34" s="1"/>
    </row>
    <row r="35" spans="1:34" x14ac:dyDescent="0.25">
      <c r="A35" s="21">
        <f t="shared" si="0"/>
        <v>4</v>
      </c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109"/>
      <c r="AA35" s="110"/>
      <c r="AB35" s="110"/>
      <c r="AC35" s="111"/>
      <c r="AD35" s="109"/>
      <c r="AE35" s="110"/>
      <c r="AF35" s="110"/>
      <c r="AG35" s="111"/>
      <c r="AH35" s="1"/>
    </row>
    <row r="36" spans="1:34" x14ac:dyDescent="0.25">
      <c r="A36" s="21">
        <f t="shared" si="0"/>
        <v>5</v>
      </c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109"/>
      <c r="AA36" s="110"/>
      <c r="AB36" s="110"/>
      <c r="AC36" s="111"/>
      <c r="AD36" s="109"/>
      <c r="AE36" s="110"/>
      <c r="AF36" s="110"/>
      <c r="AG36" s="111"/>
      <c r="AH36" s="1"/>
    </row>
    <row r="37" spans="1:34" x14ac:dyDescent="0.25">
      <c r="A37" s="21">
        <f t="shared" si="0"/>
        <v>6</v>
      </c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109"/>
      <c r="AA37" s="110"/>
      <c r="AB37" s="110"/>
      <c r="AC37" s="111"/>
      <c r="AD37" s="109"/>
      <c r="AE37" s="110"/>
      <c r="AF37" s="110"/>
      <c r="AG37" s="111"/>
      <c r="AH37" s="1"/>
    </row>
    <row r="38" spans="1:34" x14ac:dyDescent="0.25">
      <c r="A38" s="21">
        <f t="shared" si="0"/>
        <v>7</v>
      </c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109"/>
      <c r="AA38" s="110"/>
      <c r="AB38" s="110"/>
      <c r="AC38" s="111"/>
      <c r="AD38" s="109"/>
      <c r="AE38" s="110"/>
      <c r="AF38" s="110"/>
      <c r="AG38" s="111"/>
      <c r="AH38" s="1"/>
    </row>
    <row r="39" spans="1:34" x14ac:dyDescent="0.25">
      <c r="A39" s="21">
        <f t="shared" si="0"/>
        <v>8</v>
      </c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109"/>
      <c r="AA39" s="110"/>
      <c r="AB39" s="110"/>
      <c r="AC39" s="111"/>
      <c r="AD39" s="109"/>
      <c r="AE39" s="110"/>
      <c r="AF39" s="110"/>
      <c r="AG39" s="111"/>
      <c r="AH39" s="1"/>
    </row>
    <row r="40" spans="1:34" x14ac:dyDescent="0.25">
      <c r="A40" s="21">
        <f t="shared" si="0"/>
        <v>9</v>
      </c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8"/>
      <c r="AA40" s="19"/>
      <c r="AB40" s="19"/>
      <c r="AC40" s="20"/>
      <c r="AD40" s="18"/>
      <c r="AE40" s="19"/>
      <c r="AF40" s="19"/>
      <c r="AG40" s="20"/>
      <c r="AH40" s="1"/>
    </row>
    <row r="41" spans="1:34" x14ac:dyDescent="0.25">
      <c r="A41" s="21">
        <f t="shared" si="0"/>
        <v>10</v>
      </c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109"/>
      <c r="AA41" s="110"/>
      <c r="AB41" s="110"/>
      <c r="AC41" s="111"/>
      <c r="AD41" s="109"/>
      <c r="AE41" s="110"/>
      <c r="AF41" s="110"/>
      <c r="AG41" s="111"/>
      <c r="AH41" s="1"/>
    </row>
    <row r="42" spans="1:34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"/>
    </row>
    <row r="43" spans="1:34" x14ac:dyDescent="0.25">
      <c r="A43" s="115" t="s">
        <v>41</v>
      </c>
      <c r="B43" s="115"/>
      <c r="C43" s="115"/>
      <c r="D43" s="115"/>
      <c r="E43" s="115"/>
      <c r="F43" s="115"/>
      <c r="G43" s="115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"/>
    </row>
    <row r="44" spans="1:34" x14ac:dyDescent="0.25">
      <c r="A44" s="9"/>
      <c r="B44" s="9"/>
      <c r="C44" s="9"/>
      <c r="D44" s="9"/>
      <c r="E44" s="9"/>
      <c r="F44" s="9"/>
      <c r="G44" s="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"/>
    </row>
    <row r="45" spans="1:34" x14ac:dyDescent="0.25">
      <c r="A45" s="102" t="s">
        <v>42</v>
      </c>
      <c r="B45" s="102"/>
      <c r="C45" s="102"/>
      <c r="D45" s="102"/>
      <c r="E45" s="102"/>
      <c r="F45" s="102"/>
      <c r="G45" s="102"/>
      <c r="H45" s="9"/>
      <c r="I45" s="9"/>
      <c r="J45" s="11"/>
      <c r="K45" s="102" t="s">
        <v>43</v>
      </c>
      <c r="L45" s="102"/>
      <c r="M45" s="102"/>
      <c r="N45" s="102"/>
      <c r="O45" s="102"/>
      <c r="P45" s="102"/>
      <c r="Q45" s="102"/>
      <c r="R45" s="102"/>
      <c r="S45" s="102"/>
      <c r="T45" s="9"/>
      <c r="U45" s="11"/>
      <c r="V45" s="102" t="s">
        <v>44</v>
      </c>
      <c r="W45" s="102"/>
      <c r="X45" s="102"/>
      <c r="Y45" s="102"/>
      <c r="Z45" s="102"/>
      <c r="AA45" s="102"/>
      <c r="AB45" s="102"/>
      <c r="AC45" s="11"/>
      <c r="AD45" s="11"/>
      <c r="AE45" s="11"/>
      <c r="AF45" s="11"/>
      <c r="AG45" s="11"/>
      <c r="AH45" s="11"/>
    </row>
    <row r="46" spans="1:34" x14ac:dyDescent="0.25">
      <c r="A46" s="102"/>
      <c r="B46" s="102"/>
      <c r="C46" s="102"/>
      <c r="D46" s="102"/>
      <c r="E46" s="102"/>
      <c r="F46" s="102"/>
      <c r="G46" s="102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"/>
    </row>
    <row r="47" spans="1:34" x14ac:dyDescent="0.25"/>
    <row r="48" spans="1:34" x14ac:dyDescent="0.25"/>
  </sheetData>
  <sheetProtection algorithmName="SHA-512" hashValue="elajMv6I5grpnDgBuj3agEzqRNNoQ7dLEMjoClCMEfOmxh2seZjjcBvLN0IIIN+C7THwOBkMTZjYwgESdW6khw==" saltValue="HhoRYJRhE/FsRWl+bda6rg==" spinCount="100000" sheet="1"/>
  <mergeCells count="112">
    <mergeCell ref="A46:G46"/>
    <mergeCell ref="H8:L8"/>
    <mergeCell ref="M8:Q8"/>
    <mergeCell ref="W8:Y8"/>
    <mergeCell ref="Z8:AG8"/>
    <mergeCell ref="B41:Y41"/>
    <mergeCell ref="Z41:AC41"/>
    <mergeCell ref="AD41:AG41"/>
    <mergeCell ref="A43:G43"/>
    <mergeCell ref="A45:G45"/>
    <mergeCell ref="K45:S45"/>
    <mergeCell ref="V45:AB45"/>
    <mergeCell ref="B38:Y38"/>
    <mergeCell ref="Z38:AC38"/>
    <mergeCell ref="AD38:AG38"/>
    <mergeCell ref="B39:Y39"/>
    <mergeCell ref="Z39:AC39"/>
    <mergeCell ref="AD39:AG39"/>
    <mergeCell ref="B36:Y36"/>
    <mergeCell ref="Z36:AC36"/>
    <mergeCell ref="AD36:AG36"/>
    <mergeCell ref="B37:Y37"/>
    <mergeCell ref="Z37:AC37"/>
    <mergeCell ref="AD37:AG37"/>
    <mergeCell ref="B34:Y34"/>
    <mergeCell ref="Z34:AC34"/>
    <mergeCell ref="AD34:AG34"/>
    <mergeCell ref="B35:Y35"/>
    <mergeCell ref="Z35:AC35"/>
    <mergeCell ref="AD35:AG35"/>
    <mergeCell ref="B32:Y32"/>
    <mergeCell ref="Z32:AC32"/>
    <mergeCell ref="AD32:AG32"/>
    <mergeCell ref="B33:Y33"/>
    <mergeCell ref="Z33:AC33"/>
    <mergeCell ref="AD33:AG33"/>
    <mergeCell ref="A29:G29"/>
    <mergeCell ref="H29:AG29"/>
    <mergeCell ref="A30:AG30"/>
    <mergeCell ref="B31:Y31"/>
    <mergeCell ref="Z31:AC31"/>
    <mergeCell ref="AD31:AG31"/>
    <mergeCell ref="A26:G26"/>
    <mergeCell ref="H26:AG26"/>
    <mergeCell ref="A27:G27"/>
    <mergeCell ref="H27:AG27"/>
    <mergeCell ref="A28:G28"/>
    <mergeCell ref="H28:AG28"/>
    <mergeCell ref="A25:G25"/>
    <mergeCell ref="H25:AG25"/>
    <mergeCell ref="A19:G19"/>
    <mergeCell ref="H19:AG19"/>
    <mergeCell ref="A20:AG20"/>
    <mergeCell ref="A21:G21"/>
    <mergeCell ref="H21:AG21"/>
    <mergeCell ref="A22:G22"/>
    <mergeCell ref="H22:AG22"/>
    <mergeCell ref="I15:Q15"/>
    <mergeCell ref="AD15:AG15"/>
    <mergeCell ref="I16:Q16"/>
    <mergeCell ref="AD16:AG16"/>
    <mergeCell ref="A23:G23"/>
    <mergeCell ref="H23:AG23"/>
    <mergeCell ref="A24:G24"/>
    <mergeCell ref="H24:AG24"/>
    <mergeCell ref="A12:G18"/>
    <mergeCell ref="I12:Q12"/>
    <mergeCell ref="AD12:AG12"/>
    <mergeCell ref="I13:Q13"/>
    <mergeCell ref="AD13:AG13"/>
    <mergeCell ref="I14:Q14"/>
    <mergeCell ref="AD14:AG14"/>
    <mergeCell ref="R12:Z12"/>
    <mergeCell ref="AA12:AC12"/>
    <mergeCell ref="R13:Z13"/>
    <mergeCell ref="AA13:AC13"/>
    <mergeCell ref="R14:Z14"/>
    <mergeCell ref="AA14:AC14"/>
    <mergeCell ref="R15:Z15"/>
    <mergeCell ref="AA15:AC15"/>
    <mergeCell ref="R16:Z16"/>
    <mergeCell ref="AA16:AC16"/>
    <mergeCell ref="R17:Z17"/>
    <mergeCell ref="AA17:AC17"/>
    <mergeCell ref="R18:Z18"/>
    <mergeCell ref="AA18:AC18"/>
    <mergeCell ref="I17:Q17"/>
    <mergeCell ref="AD17:AG17"/>
    <mergeCell ref="I18:Q18"/>
    <mergeCell ref="AD18:AG18"/>
    <mergeCell ref="A10:G10"/>
    <mergeCell ref="H10:AG10"/>
    <mergeCell ref="A11:G11"/>
    <mergeCell ref="H11:Q11"/>
    <mergeCell ref="R11:AA11"/>
    <mergeCell ref="AB11:AG11"/>
    <mergeCell ref="A8:G8"/>
    <mergeCell ref="R8:V8"/>
    <mergeCell ref="A9:G9"/>
    <mergeCell ref="H9:AG9"/>
    <mergeCell ref="A7:G7"/>
    <mergeCell ref="H7:L7"/>
    <mergeCell ref="M7:Q7"/>
    <mergeCell ref="R7:W7"/>
    <mergeCell ref="X7:AC7"/>
    <mergeCell ref="AD7:AG7"/>
    <mergeCell ref="A2:AG2"/>
    <mergeCell ref="A4:AG4"/>
    <mergeCell ref="A5:G5"/>
    <mergeCell ref="H5:AG5"/>
    <mergeCell ref="A6:G6"/>
    <mergeCell ref="H6:AG6"/>
  </mergeCells>
  <hyperlinks>
    <hyperlink ref="R12" r:id="rId1" xr:uid="{B2CB74F0-66FF-4A8B-A1FD-0F62B209322D}"/>
  </hyperlinks>
  <pageMargins left="0.23622047244094491" right="0.23622047244094491" top="0.74803149606299213" bottom="0.74803149606299213" header="0.31496062992125984" footer="0.31496062992125984"/>
  <pageSetup paperSize="9" orientation="portrait" r:id="rId2"/>
  <headerFooter>
    <oddHeader>&amp;L&amp;"-,Negrito"&amp;14&amp;K0070C0CGU
Controladoria-Geral da União
Secretaria-Executiva
Escritório de Projetos&amp;R&amp;G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date" allowBlank="1" showInputMessage="1" showErrorMessage="1" error="DD/MM/AAAA" xr:uid="{CD797944-7DB9-4940-9463-A86F767D132E}">
          <x14:formula1>
            <xm:f>Listas!$C$1</xm:f>
          </x14:formula1>
          <x14:formula2>
            <xm:f>Listas!$C$2</xm:f>
          </x14:formula2>
          <xm:sqref>Z32:AG41</xm:sqref>
        </x14:dataValidation>
        <x14:dataValidation type="date" allowBlank="1" showInputMessage="1" showErrorMessage="1" error="DD/MM/AAAA" xr:uid="{F662F8F2-5F5B-4AE1-BB83-0DEB34E8B729}">
          <x14:formula1>
            <xm:f>Listas!C1</xm:f>
          </x14:formula1>
          <x14:formula2>
            <xm:f>Listas!C2</xm:f>
          </x14:formula2>
          <xm:sqref>H11:Q11</xm:sqref>
        </x14:dataValidation>
        <x14:dataValidation type="date" allowBlank="1" showInputMessage="1" showErrorMessage="1" error="DD/MM/AAAA" xr:uid="{EB4287D7-5284-4CD9-8780-4ED9ADD85302}">
          <x14:formula1>
            <xm:f>Listas!C1</xm:f>
          </x14:formula1>
          <x14:formula2>
            <xm:f>Listas!C2</xm:f>
          </x14:formula2>
          <xm:sqref>AB11:AG11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E2FCE06E7DE244B15C555EE2A5EEC3" ma:contentTypeVersion="9" ma:contentTypeDescription="Crie um novo documento." ma:contentTypeScope="" ma:versionID="27e220c9ce184e52ce235791793626aa">
  <xsd:schema xmlns:xsd="http://www.w3.org/2001/XMLSchema" xmlns:xs="http://www.w3.org/2001/XMLSchema" xmlns:p="http://schemas.microsoft.com/office/2006/metadata/properties" xmlns:ns2="a11d50bf-47d9-4223-a1cd-955052e48095" xmlns:ns3="a2b8b34a-8b7b-4f1b-a890-a7c2347930c6" targetNamespace="http://schemas.microsoft.com/office/2006/metadata/properties" ma:root="true" ma:fieldsID="a1b8d40cf85da16bda68347c45ebe024" ns2:_="" ns3:_="">
    <xsd:import namespace="a11d50bf-47d9-4223-a1cd-955052e48095"/>
    <xsd:import namespace="a2b8b34a-8b7b-4f1b-a890-a7c2347930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1d50bf-47d9-4223-a1cd-955052e48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b8b34a-8b7b-4f1b-a890-a7c2347930c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CBAE63-0B5C-45CD-B9AA-98CD053552CC}">
  <ds:schemaRefs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a2b8b34a-8b7b-4f1b-a890-a7c2347930c6"/>
    <ds:schemaRef ds:uri="a11d50bf-47d9-4223-a1cd-955052e48095"/>
  </ds:schemaRefs>
</ds:datastoreItem>
</file>

<file path=customXml/itemProps2.xml><?xml version="1.0" encoding="utf-8"?>
<ds:datastoreItem xmlns:ds="http://schemas.openxmlformats.org/officeDocument/2006/customXml" ds:itemID="{98111471-BA0E-40C1-A682-DFF53D9A2F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4FA543-0144-4B27-9A96-350831290B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1d50bf-47d9-4223-a1cd-955052e48095"/>
    <ds:schemaRef ds:uri="a2b8b34a-8b7b-4f1b-a890-a7c2347930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25</vt:i4>
      </vt:variant>
      <vt:variant>
        <vt:lpstr>Intervalos Nomeados</vt:lpstr>
      </vt:variant>
      <vt:variant>
        <vt:i4>19</vt:i4>
      </vt:variant>
    </vt:vector>
  </HeadingPairs>
  <TitlesOfParts>
    <vt:vector size="44" baseType="lpstr">
      <vt:lpstr>Tap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MonitorProjetos</vt:lpstr>
      <vt:lpstr>MonitorEquipe</vt:lpstr>
      <vt:lpstr>INV</vt:lpstr>
      <vt:lpstr>Listas</vt:lpstr>
      <vt:lpstr>Eq1_</vt:lpstr>
      <vt:lpstr>Eq1pac</vt:lpstr>
      <vt:lpstr>Eq2_</vt:lpstr>
      <vt:lpstr>Eq2Pac</vt:lpstr>
      <vt:lpstr>Eq3_</vt:lpstr>
      <vt:lpstr>Eq3Pac</vt:lpstr>
      <vt:lpstr>Eq4_</vt:lpstr>
      <vt:lpstr>Eq4Pac</vt:lpstr>
      <vt:lpstr>Eq5_</vt:lpstr>
      <vt:lpstr>Eq5Pac</vt:lpstr>
      <vt:lpstr>Eq6_</vt:lpstr>
      <vt:lpstr>Eq6Pac</vt:lpstr>
      <vt:lpstr>Eq7_</vt:lpstr>
      <vt:lpstr>Eq7Pac</vt:lpstr>
      <vt:lpstr>Fim</vt:lpstr>
      <vt:lpstr>Inicio</vt:lpstr>
      <vt:lpstr>P1eq</vt:lpstr>
      <vt:lpstr>projetos</vt:lpstr>
      <vt:lpstr>tap</vt:lpstr>
    </vt:vector>
  </TitlesOfParts>
  <Company>CGU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 Edson da Costa</dc:creator>
  <cp:lastModifiedBy>Barbara Alves Aires de Alencar</cp:lastModifiedBy>
  <cp:lastPrinted>2019-07-23T18:53:41Z</cp:lastPrinted>
  <dcterms:created xsi:type="dcterms:W3CDTF">2019-07-18T11:25:41Z</dcterms:created>
  <dcterms:modified xsi:type="dcterms:W3CDTF">2019-09-02T19:42:56Z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0x01010066E2FCE06E7DE244B15C555EE2A5EEC3</vt:lpwstr>
  </property>
</Properties>
</file>